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lerk\Downloads\"/>
    </mc:Choice>
  </mc:AlternateContent>
  <xr:revisionPtr revIDLastSave="0" documentId="8_{0D4A730F-E053-4D5D-AAB4-B78D71A24FAA}" xr6:coauthVersionLast="47" xr6:coauthVersionMax="47" xr10:uidLastSave="{00000000-0000-0000-0000-000000000000}"/>
  <bookViews>
    <workbookView xWindow="-98" yWindow="-98" windowWidth="20715" windowHeight="13276" activeTab="2" xr2:uid="{00000000-000D-0000-FFFF-FFFF00000000}"/>
  </bookViews>
  <sheets>
    <sheet name="Summary" sheetId="2" r:id="rId1"/>
    <sheet name="Receipts" sheetId="1" r:id="rId2"/>
    <sheet name="Payments" sheetId="3" r:id="rId3"/>
    <sheet name="Reserves requirement" sheetId="7" r:id="rId4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1" i="3" l="1"/>
  <c r="Q81" i="3"/>
  <c r="P27" i="2" s="1"/>
  <c r="P28" i="2" s="1"/>
  <c r="P81" i="3"/>
  <c r="O27" i="2" s="1"/>
  <c r="M80" i="3"/>
  <c r="M78" i="3"/>
  <c r="M77" i="3"/>
  <c r="M76" i="3"/>
  <c r="M75" i="3"/>
  <c r="M73" i="3"/>
  <c r="M71" i="3"/>
  <c r="M70" i="3"/>
  <c r="M69" i="3"/>
  <c r="M67" i="3"/>
  <c r="M66" i="3"/>
  <c r="M65" i="3"/>
  <c r="M63" i="3"/>
  <c r="M62" i="3"/>
  <c r="P61" i="3"/>
  <c r="O61" i="3"/>
  <c r="O81" i="3" s="1"/>
  <c r="N27" i="2" s="1"/>
  <c r="P59" i="3"/>
  <c r="O19" i="2" s="1"/>
  <c r="O59" i="3"/>
  <c r="N19" i="2" s="1"/>
  <c r="R58" i="3"/>
  <c r="Q58" i="3"/>
  <c r="P58" i="3"/>
  <c r="O58" i="3"/>
  <c r="M58" i="3"/>
  <c r="M57" i="3"/>
  <c r="R56" i="3"/>
  <c r="R59" i="3" s="1"/>
  <c r="Q56" i="3"/>
  <c r="Q59" i="3" s="1"/>
  <c r="P19" i="2" s="1"/>
  <c r="P56" i="3"/>
  <c r="O56" i="3"/>
  <c r="M56" i="3" s="1"/>
  <c r="M59" i="3" s="1"/>
  <c r="M52" i="3"/>
  <c r="M51" i="3"/>
  <c r="R49" i="3"/>
  <c r="R48" i="3"/>
  <c r="P48" i="3"/>
  <c r="M48" i="3"/>
  <c r="M47" i="3"/>
  <c r="M46" i="3"/>
  <c r="M45" i="3"/>
  <c r="M44" i="3"/>
  <c r="M42" i="3"/>
  <c r="M41" i="3"/>
  <c r="R40" i="3"/>
  <c r="Q40" i="3"/>
  <c r="P40" i="3"/>
  <c r="M40" i="3" s="1"/>
  <c r="O40" i="3"/>
  <c r="R39" i="3"/>
  <c r="R83" i="3" s="1"/>
  <c r="Q39" i="3"/>
  <c r="Q49" i="3" s="1"/>
  <c r="P18" i="2" s="1"/>
  <c r="P39" i="3"/>
  <c r="P49" i="3" s="1"/>
  <c r="O18" i="2" s="1"/>
  <c r="O38" i="3"/>
  <c r="M38" i="3" s="1"/>
  <c r="M37" i="3"/>
  <c r="M36" i="3"/>
  <c r="M35" i="3"/>
  <c r="M34" i="3"/>
  <c r="M33" i="3"/>
  <c r="M32" i="3"/>
  <c r="M31" i="3"/>
  <c r="M39" i="3" s="1"/>
  <c r="M49" i="3" s="1"/>
  <c r="R27" i="3"/>
  <c r="Q27" i="3"/>
  <c r="P27" i="3"/>
  <c r="O27" i="3"/>
  <c r="N17" i="2" s="1"/>
  <c r="M26" i="3"/>
  <c r="M27" i="3" s="1"/>
  <c r="R24" i="3"/>
  <c r="Q24" i="3"/>
  <c r="P16" i="2" s="1"/>
  <c r="P24" i="3"/>
  <c r="O24" i="3"/>
  <c r="M23" i="3"/>
  <c r="M22" i="3"/>
  <c r="M24" i="3" s="1"/>
  <c r="R20" i="3"/>
  <c r="R53" i="3" s="1"/>
  <c r="R54" i="3" s="1"/>
  <c r="P20" i="3"/>
  <c r="P53" i="3" s="1"/>
  <c r="P54" i="3" s="1"/>
  <c r="O20" i="2" s="1"/>
  <c r="M18" i="3"/>
  <c r="M17" i="3"/>
  <c r="M16" i="3"/>
  <c r="M15" i="3"/>
  <c r="M14" i="3"/>
  <c r="Q13" i="3"/>
  <c r="M13" i="3" s="1"/>
  <c r="M12" i="3"/>
  <c r="M11" i="3"/>
  <c r="O10" i="3"/>
  <c r="O20" i="3" s="1"/>
  <c r="O53" i="3" s="1"/>
  <c r="M10" i="3"/>
  <c r="M9" i="3"/>
  <c r="M20" i="3" s="1"/>
  <c r="R7" i="3"/>
  <c r="Q7" i="3"/>
  <c r="P14" i="2" s="1"/>
  <c r="M6" i="3"/>
  <c r="R5" i="3"/>
  <c r="Q5" i="3"/>
  <c r="P5" i="3"/>
  <c r="P7" i="3" s="1"/>
  <c r="O14" i="2" s="1"/>
  <c r="O22" i="2" s="1"/>
  <c r="O31" i="2" s="1"/>
  <c r="O5" i="3"/>
  <c r="M5" i="3" s="1"/>
  <c r="M7" i="3" s="1"/>
  <c r="O48" i="1"/>
  <c r="N48" i="1"/>
  <c r="O26" i="2" s="1"/>
  <c r="M48" i="1"/>
  <c r="L48" i="1"/>
  <c r="O40" i="1"/>
  <c r="P10" i="2" s="1"/>
  <c r="M40" i="1"/>
  <c r="N10" i="2" s="1"/>
  <c r="L40" i="1"/>
  <c r="M10" i="2" s="1"/>
  <c r="M35" i="1"/>
  <c r="L35" i="1"/>
  <c r="M31" i="1"/>
  <c r="N8" i="2" s="1"/>
  <c r="L31" i="1"/>
  <c r="O23" i="1"/>
  <c r="N23" i="1"/>
  <c r="M23" i="1"/>
  <c r="N7" i="2" s="1"/>
  <c r="L23" i="1"/>
  <c r="M7" i="2" s="1"/>
  <c r="O19" i="1"/>
  <c r="P6" i="2" s="1"/>
  <c r="N19" i="1"/>
  <c r="O6" i="2" s="1"/>
  <c r="M19" i="1"/>
  <c r="N6" i="2" s="1"/>
  <c r="L19" i="1"/>
  <c r="O13" i="1"/>
  <c r="N13" i="1"/>
  <c r="M13" i="1"/>
  <c r="L12" i="1"/>
  <c r="M27" i="2"/>
  <c r="P26" i="2"/>
  <c r="N26" i="2"/>
  <c r="M26" i="2"/>
  <c r="M21" i="2"/>
  <c r="M20" i="2"/>
  <c r="M19" i="2"/>
  <c r="M18" i="2"/>
  <c r="P17" i="2"/>
  <c r="O17" i="2"/>
  <c r="M17" i="2"/>
  <c r="O16" i="2"/>
  <c r="N16" i="2"/>
  <c r="Q16" i="2" s="1"/>
  <c r="M16" i="2"/>
  <c r="M14" i="2"/>
  <c r="P11" i="2"/>
  <c r="M11" i="2"/>
  <c r="O10" i="2"/>
  <c r="P9" i="2"/>
  <c r="O9" i="2"/>
  <c r="P8" i="2"/>
  <c r="O8" i="2"/>
  <c r="M8" i="2"/>
  <c r="P7" i="2"/>
  <c r="O7" i="2"/>
  <c r="M6" i="2"/>
  <c r="P5" i="2"/>
  <c r="O5" i="2"/>
  <c r="N5" i="2"/>
  <c r="M5" i="2"/>
  <c r="P4" i="2"/>
  <c r="O4" i="2"/>
  <c r="N4" i="2"/>
  <c r="M4" i="2"/>
  <c r="M53" i="3" l="1"/>
  <c r="M54" i="3" s="1"/>
  <c r="O54" i="3"/>
  <c r="N20" i="2" s="1"/>
  <c r="Q20" i="2" s="1"/>
  <c r="P22" i="2"/>
  <c r="P31" i="2" s="1"/>
  <c r="Q19" i="2"/>
  <c r="O28" i="2"/>
  <c r="M61" i="3"/>
  <c r="M81" i="3" s="1"/>
  <c r="P83" i="3"/>
  <c r="O21" i="2" s="1"/>
  <c r="N28" i="2"/>
  <c r="Q20" i="3"/>
  <c r="Q53" i="3" s="1"/>
  <c r="Q54" i="3" s="1"/>
  <c r="P20" i="2" s="1"/>
  <c r="O7" i="3"/>
  <c r="N14" i="2" s="1"/>
  <c r="Q83" i="3"/>
  <c r="P21" i="2" s="1"/>
  <c r="O39" i="3"/>
  <c r="Q17" i="2"/>
  <c r="Q10" i="2"/>
  <c r="Q11" i="2"/>
  <c r="M28" i="2"/>
  <c r="Q5" i="2"/>
  <c r="Q26" i="2"/>
  <c r="Q7" i="2"/>
  <c r="Q6" i="2"/>
  <c r="Q8" i="2"/>
  <c r="P12" i="2"/>
  <c r="P30" i="2" s="1"/>
  <c r="P33" i="2" s="1"/>
  <c r="Q9" i="2"/>
  <c r="N12" i="2"/>
  <c r="Q4" i="2"/>
  <c r="M12" i="2"/>
  <c r="M22" i="2"/>
  <c r="M31" i="2" s="1"/>
  <c r="Q14" i="2"/>
  <c r="O12" i="2"/>
  <c r="Q27" i="2"/>
  <c r="Q28" i="2" s="1"/>
  <c r="F29" i="1"/>
  <c r="O49" i="3" l="1"/>
  <c r="N18" i="2" s="1"/>
  <c r="Q18" i="2" s="1"/>
  <c r="Q22" i="2" s="1"/>
  <c r="O83" i="3"/>
  <c r="Q12" i="2"/>
  <c r="P24" i="2"/>
  <c r="N30" i="2"/>
  <c r="M24" i="2"/>
  <c r="M30" i="2"/>
  <c r="M33" i="2" s="1"/>
  <c r="Q30" i="2"/>
  <c r="O30" i="2"/>
  <c r="O33" i="2" s="1"/>
  <c r="O24" i="2"/>
  <c r="B10" i="7"/>
  <c r="B8" i="7"/>
  <c r="B6" i="7"/>
  <c r="B3" i="7"/>
  <c r="Q24" i="2" l="1"/>
  <c r="Q31" i="2"/>
  <c r="M83" i="3"/>
  <c r="N21" i="2"/>
  <c r="Q21" i="2" s="1"/>
  <c r="N22" i="2"/>
  <c r="Q33" i="2"/>
  <c r="L58" i="3"/>
  <c r="K58" i="3"/>
  <c r="J58" i="3"/>
  <c r="I58" i="3"/>
  <c r="N31" i="2" l="1"/>
  <c r="N33" i="2" s="1"/>
  <c r="N24" i="2"/>
  <c r="I38" i="3"/>
  <c r="L48" i="3"/>
  <c r="G80" i="3"/>
  <c r="G78" i="3"/>
  <c r="G77" i="3"/>
  <c r="G76" i="3"/>
  <c r="G75" i="3"/>
  <c r="G73" i="3"/>
  <c r="G71" i="3"/>
  <c r="G70" i="3"/>
  <c r="G69" i="3"/>
  <c r="G67" i="3"/>
  <c r="G66" i="3"/>
  <c r="G65" i="3"/>
  <c r="G63" i="3"/>
  <c r="G62" i="3"/>
  <c r="G58" i="3"/>
  <c r="G57" i="3"/>
  <c r="G52" i="3"/>
  <c r="G51" i="3"/>
  <c r="G47" i="3"/>
  <c r="G46" i="3"/>
  <c r="G45" i="3"/>
  <c r="G44" i="3"/>
  <c r="G42" i="3"/>
  <c r="G38" i="3"/>
  <c r="G37" i="3"/>
  <c r="G36" i="3"/>
  <c r="G35" i="3"/>
  <c r="G34" i="3"/>
  <c r="G33" i="3"/>
  <c r="G32" i="3"/>
  <c r="G31" i="3"/>
  <c r="G26" i="3"/>
  <c r="G22" i="3"/>
  <c r="G18" i="3"/>
  <c r="G17" i="3"/>
  <c r="G16" i="3"/>
  <c r="G15" i="3"/>
  <c r="G14" i="3"/>
  <c r="G12" i="3"/>
  <c r="G11" i="3"/>
  <c r="G6" i="3"/>
  <c r="F47" i="1"/>
  <c r="F45" i="1"/>
  <c r="F44" i="1"/>
  <c r="F43" i="1"/>
  <c r="F42" i="1"/>
  <c r="F39" i="1"/>
  <c r="F38" i="1"/>
  <c r="F37" i="1"/>
  <c r="F34" i="1"/>
  <c r="F33" i="1"/>
  <c r="F30" i="1"/>
  <c r="F27" i="1"/>
  <c r="F26" i="1"/>
  <c r="F25" i="1"/>
  <c r="F22" i="1"/>
  <c r="F21" i="1"/>
  <c r="F18" i="1"/>
  <c r="F17" i="1"/>
  <c r="F16" i="1"/>
  <c r="F15" i="1"/>
  <c r="F11" i="1"/>
  <c r="J48" i="3" s="1"/>
  <c r="F10" i="1"/>
  <c r="F9" i="1"/>
  <c r="L81" i="3" l="1"/>
  <c r="K81" i="3"/>
  <c r="J48" i="1"/>
  <c r="I48" i="1"/>
  <c r="H48" i="1"/>
  <c r="E48" i="1"/>
  <c r="D48" i="1"/>
  <c r="C48" i="1"/>
  <c r="B48" i="1"/>
  <c r="J61" i="3"/>
  <c r="J81" i="3" s="1"/>
  <c r="I61" i="3"/>
  <c r="G61" i="3" s="1"/>
  <c r="I10" i="3"/>
  <c r="L5" i="3"/>
  <c r="J5" i="3"/>
  <c r="K5" i="3"/>
  <c r="I5" i="3"/>
  <c r="G23" i="3" l="1"/>
  <c r="G10" i="3"/>
  <c r="G9" i="3"/>
  <c r="G5" i="3"/>
  <c r="K48" i="1"/>
  <c r="I81" i="3"/>
  <c r="H12" i="1" l="1"/>
  <c r="F12" i="1" l="1"/>
  <c r="F28" i="1"/>
  <c r="E31" i="3"/>
  <c r="E39" i="3" s="1"/>
  <c r="E49" i="3" s="1"/>
  <c r="D18" i="2" s="1"/>
  <c r="D26" i="2"/>
  <c r="D21" i="2"/>
  <c r="D11" i="2"/>
  <c r="D5" i="2"/>
  <c r="D4" i="2"/>
  <c r="E81" i="3"/>
  <c r="D27" i="2" s="1"/>
  <c r="E59" i="3"/>
  <c r="D19" i="2" s="1"/>
  <c r="E54" i="3"/>
  <c r="D20" i="2" s="1"/>
  <c r="E27" i="3"/>
  <c r="D17" i="2" s="1"/>
  <c r="E24" i="3"/>
  <c r="D16" i="2" s="1"/>
  <c r="E20" i="3"/>
  <c r="D15" i="2" s="1"/>
  <c r="E7" i="3"/>
  <c r="D14" i="2" s="1"/>
  <c r="D40" i="1"/>
  <c r="D10" i="2" s="1"/>
  <c r="D35" i="1"/>
  <c r="D9" i="2" s="1"/>
  <c r="D31" i="1"/>
  <c r="D8" i="2" s="1"/>
  <c r="D23" i="1"/>
  <c r="D7" i="2" s="1"/>
  <c r="D19" i="1"/>
  <c r="D6" i="2" s="1"/>
  <c r="D13" i="1"/>
  <c r="K56" i="3" l="1"/>
  <c r="L56" i="3"/>
  <c r="J56" i="3"/>
  <c r="I56" i="3"/>
  <c r="D28" i="2"/>
  <c r="D22" i="2" l="1"/>
  <c r="D31" i="2" s="1"/>
  <c r="D12" i="2"/>
  <c r="D24" i="2" l="1"/>
  <c r="D30" i="2"/>
  <c r="D33" i="2" s="1"/>
  <c r="L40" i="3"/>
  <c r="K40" i="3"/>
  <c r="I39" i="3" l="1"/>
  <c r="I20" i="3" l="1"/>
  <c r="H27" i="2"/>
  <c r="H4" i="2"/>
  <c r="I4" i="2"/>
  <c r="E21" i="2"/>
  <c r="C21" i="2"/>
  <c r="B21" i="2"/>
  <c r="H11" i="2"/>
  <c r="E11" i="2"/>
  <c r="C11" i="2"/>
  <c r="B11" i="2"/>
  <c r="E4" i="2"/>
  <c r="C4" i="2"/>
  <c r="B4" i="2"/>
  <c r="B40" i="1"/>
  <c r="B10" i="2" s="1"/>
  <c r="J39" i="3"/>
  <c r="L39" i="3"/>
  <c r="K13" i="3"/>
  <c r="K39" i="3"/>
  <c r="J40" i="3"/>
  <c r="I40" i="3"/>
  <c r="G40" i="3" s="1"/>
  <c r="K7" i="3"/>
  <c r="J14" i="2" s="1"/>
  <c r="J59" i="3"/>
  <c r="I19" i="2" s="1"/>
  <c r="C7" i="3"/>
  <c r="B14" i="2" s="1"/>
  <c r="C20" i="3"/>
  <c r="B15" i="2" s="1"/>
  <c r="C24" i="3"/>
  <c r="B16" i="2" s="1"/>
  <c r="C27" i="3"/>
  <c r="B17" i="2" s="1"/>
  <c r="C31" i="3"/>
  <c r="C33" i="3"/>
  <c r="C38" i="3"/>
  <c r="C57" i="3"/>
  <c r="C59" i="3" s="1"/>
  <c r="B19" i="2" s="1"/>
  <c r="C54" i="3"/>
  <c r="B20" i="2" s="1"/>
  <c r="C81" i="3"/>
  <c r="B27" i="2" s="1"/>
  <c r="B13" i="1"/>
  <c r="B5" i="2" s="1"/>
  <c r="B19" i="1"/>
  <c r="B6" i="2" s="1"/>
  <c r="B23" i="1"/>
  <c r="B7" i="2" s="1"/>
  <c r="B25" i="1"/>
  <c r="B31" i="1" s="1"/>
  <c r="B8" i="2" s="1"/>
  <c r="B35" i="1"/>
  <c r="B9" i="2" s="1"/>
  <c r="B26" i="2"/>
  <c r="D7" i="3"/>
  <c r="C14" i="2" s="1"/>
  <c r="D10" i="3"/>
  <c r="D20" i="3" s="1"/>
  <c r="C15" i="2" s="1"/>
  <c r="D24" i="3"/>
  <c r="C16" i="2" s="1"/>
  <c r="D27" i="3"/>
  <c r="C17" i="2" s="1"/>
  <c r="D31" i="3"/>
  <c r="D39" i="3" s="1"/>
  <c r="D49" i="3" s="1"/>
  <c r="C18" i="2" s="1"/>
  <c r="D59" i="3"/>
  <c r="C19" i="2" s="1"/>
  <c r="D54" i="3"/>
  <c r="C20" i="2" s="1"/>
  <c r="D81" i="3"/>
  <c r="C27" i="2" s="1"/>
  <c r="C13" i="1"/>
  <c r="C5" i="2" s="1"/>
  <c r="C19" i="1"/>
  <c r="C6" i="2" s="1"/>
  <c r="C23" i="1"/>
  <c r="C7" i="2" s="1"/>
  <c r="C31" i="1"/>
  <c r="C8" i="2" s="1"/>
  <c r="C35" i="1"/>
  <c r="C9" i="2" s="1"/>
  <c r="C40" i="1"/>
  <c r="C10" i="2" s="1"/>
  <c r="C26" i="2"/>
  <c r="F7" i="3"/>
  <c r="E14" i="2" s="1"/>
  <c r="F20" i="3"/>
  <c r="E15" i="2" s="1"/>
  <c r="F24" i="3"/>
  <c r="E16" i="2" s="1"/>
  <c r="F27" i="3"/>
  <c r="E17" i="2" s="1"/>
  <c r="F39" i="3"/>
  <c r="F49" i="3" s="1"/>
  <c r="E18" i="2" s="1"/>
  <c r="F59" i="3"/>
  <c r="E19" i="2" s="1"/>
  <c r="F54" i="3"/>
  <c r="E20" i="2" s="1"/>
  <c r="F81" i="3"/>
  <c r="E27" i="2" s="1"/>
  <c r="E13" i="1"/>
  <c r="E5" i="2" s="1"/>
  <c r="E19" i="1"/>
  <c r="E6" i="2" s="1"/>
  <c r="E23" i="1"/>
  <c r="E7" i="2" s="1"/>
  <c r="E31" i="1"/>
  <c r="E8" i="2" s="1"/>
  <c r="E35" i="1"/>
  <c r="E9" i="2" s="1"/>
  <c r="E40" i="1"/>
  <c r="E10" i="2" s="1"/>
  <c r="E26" i="2"/>
  <c r="H26" i="2"/>
  <c r="K40" i="1"/>
  <c r="K10" i="2" s="1"/>
  <c r="I40" i="1"/>
  <c r="I10" i="2" s="1"/>
  <c r="J10" i="2"/>
  <c r="H40" i="1"/>
  <c r="H10" i="2" s="1"/>
  <c r="K27" i="2"/>
  <c r="J27" i="2"/>
  <c r="I27" i="2"/>
  <c r="I31" i="1"/>
  <c r="I8" i="2" s="1"/>
  <c r="J24" i="3"/>
  <c r="I16" i="2" s="1"/>
  <c r="H23" i="1"/>
  <c r="H7" i="2" s="1"/>
  <c r="F7" i="2" s="1"/>
  <c r="H35" i="1"/>
  <c r="J23" i="1"/>
  <c r="J7" i="2" s="1"/>
  <c r="J26" i="2"/>
  <c r="K24" i="3"/>
  <c r="J16" i="2" s="1"/>
  <c r="K13" i="1"/>
  <c r="K5" i="2" s="1"/>
  <c r="I5" i="2"/>
  <c r="K19" i="1"/>
  <c r="K6" i="2" s="1"/>
  <c r="I19" i="1"/>
  <c r="I6" i="2" s="1"/>
  <c r="J19" i="1"/>
  <c r="J6" i="2" s="1"/>
  <c r="H19" i="1"/>
  <c r="H6" i="2" s="1"/>
  <c r="H5" i="2"/>
  <c r="J13" i="1"/>
  <c r="J5" i="2" s="1"/>
  <c r="K4" i="2"/>
  <c r="J4" i="2"/>
  <c r="I27" i="3"/>
  <c r="H17" i="2" s="1"/>
  <c r="J27" i="3"/>
  <c r="I17" i="2" s="1"/>
  <c r="K27" i="3"/>
  <c r="J17" i="2" s="1"/>
  <c r="L27" i="3"/>
  <c r="K17" i="2" s="1"/>
  <c r="I24" i="3"/>
  <c r="H16" i="2" s="1"/>
  <c r="L24" i="3"/>
  <c r="K16" i="2" s="1"/>
  <c r="J20" i="3"/>
  <c r="L20" i="3"/>
  <c r="J7" i="3"/>
  <c r="I14" i="2" s="1"/>
  <c r="L7" i="3"/>
  <c r="K14" i="2" s="1"/>
  <c r="I26" i="2"/>
  <c r="K26" i="2"/>
  <c r="I35" i="1"/>
  <c r="J9" i="2"/>
  <c r="K9" i="2"/>
  <c r="H31" i="1"/>
  <c r="H8" i="2" s="1"/>
  <c r="J8" i="2"/>
  <c r="K8" i="2"/>
  <c r="I23" i="1"/>
  <c r="I7" i="2" s="1"/>
  <c r="K23" i="1"/>
  <c r="K7" i="2" s="1"/>
  <c r="F5" i="2" l="1"/>
  <c r="F26" i="2"/>
  <c r="F6" i="2"/>
  <c r="F10" i="2"/>
  <c r="F16" i="2"/>
  <c r="F17" i="2"/>
  <c r="F27" i="2"/>
  <c r="F9" i="2"/>
  <c r="F8" i="2"/>
  <c r="F4" i="2"/>
  <c r="G13" i="3"/>
  <c r="G27" i="3"/>
  <c r="G81" i="3"/>
  <c r="F48" i="1"/>
  <c r="K28" i="2"/>
  <c r="J28" i="2"/>
  <c r="F28" i="2" s="1"/>
  <c r="C28" i="2"/>
  <c r="E28" i="2"/>
  <c r="B12" i="2"/>
  <c r="B30" i="2" s="1"/>
  <c r="H28" i="2"/>
  <c r="I28" i="2"/>
  <c r="B28" i="2"/>
  <c r="G24" i="3"/>
  <c r="C39" i="3"/>
  <c r="C49" i="3" s="1"/>
  <c r="B18" i="2" s="1"/>
  <c r="B22" i="2" s="1"/>
  <c r="B31" i="2" s="1"/>
  <c r="L5" i="2"/>
  <c r="K20" i="3"/>
  <c r="G7" i="3"/>
  <c r="L4" i="2"/>
  <c r="L8" i="2"/>
  <c r="F31" i="1"/>
  <c r="L10" i="2"/>
  <c r="L27" i="2"/>
  <c r="L17" i="2"/>
  <c r="F19" i="1"/>
  <c r="F40" i="1"/>
  <c r="L6" i="2"/>
  <c r="G48" i="3"/>
  <c r="F23" i="1"/>
  <c r="L7" i="2"/>
  <c r="E12" i="2"/>
  <c r="E30" i="2" s="1"/>
  <c r="L16" i="2"/>
  <c r="L9" i="2"/>
  <c r="L26" i="2"/>
  <c r="E22" i="2"/>
  <c r="E31" i="2" s="1"/>
  <c r="C22" i="2"/>
  <c r="C31" i="2" s="1"/>
  <c r="C12" i="2"/>
  <c r="H12" i="2"/>
  <c r="H30" i="2" s="1"/>
  <c r="F35" i="1"/>
  <c r="I7" i="3"/>
  <c r="H14" i="2" s="1"/>
  <c r="L59" i="3"/>
  <c r="K19" i="2" s="1"/>
  <c r="K59" i="3"/>
  <c r="J19" i="2" s="1"/>
  <c r="G56" i="3" l="1"/>
  <c r="B9" i="7" s="1"/>
  <c r="L53" i="3"/>
  <c r="L54" i="3" s="1"/>
  <c r="K20" i="2" s="1"/>
  <c r="K49" i="3"/>
  <c r="J18" i="2" s="1"/>
  <c r="L28" i="2"/>
  <c r="B33" i="2"/>
  <c r="C24" i="2"/>
  <c r="C30" i="2"/>
  <c r="C33" i="2" s="1"/>
  <c r="E33" i="2"/>
  <c r="B24" i="2"/>
  <c r="E24" i="2"/>
  <c r="G39" i="3"/>
  <c r="G20" i="3"/>
  <c r="B4" i="7" s="1"/>
  <c r="L14" i="2"/>
  <c r="I59" i="3"/>
  <c r="H19" i="2" s="1"/>
  <c r="F15" i="2" l="1"/>
  <c r="L19" i="2"/>
  <c r="F19" i="2"/>
  <c r="G41" i="3"/>
  <c r="L49" i="3"/>
  <c r="K18" i="2" s="1"/>
  <c r="L83" i="3"/>
  <c r="K21" i="2" s="1"/>
  <c r="I49" i="3"/>
  <c r="H18" i="2" s="1"/>
  <c r="I53" i="3"/>
  <c r="J49" i="3"/>
  <c r="I18" i="2" s="1"/>
  <c r="J53" i="3"/>
  <c r="K53" i="3"/>
  <c r="B37" i="2"/>
  <c r="C35" i="2" s="1"/>
  <c r="C37" i="2" s="1"/>
  <c r="G59" i="3"/>
  <c r="F18" i="2" l="1"/>
  <c r="G53" i="3"/>
  <c r="I83" i="3"/>
  <c r="K22" i="2"/>
  <c r="K31" i="2" s="1"/>
  <c r="G49" i="3"/>
  <c r="B7" i="7" s="1"/>
  <c r="K83" i="3"/>
  <c r="K54" i="3"/>
  <c r="J20" i="2" s="1"/>
  <c r="J83" i="3"/>
  <c r="J54" i="3"/>
  <c r="I20" i="2" s="1"/>
  <c r="L18" i="2"/>
  <c r="I54" i="3"/>
  <c r="H20" i="2" s="1"/>
  <c r="D35" i="2"/>
  <c r="D37" i="2" s="1"/>
  <c r="F20" i="2" l="1"/>
  <c r="B12" i="7"/>
  <c r="B13" i="7" s="1"/>
  <c r="G83" i="3"/>
  <c r="L20" i="2"/>
  <c r="G54" i="3"/>
  <c r="H21" i="2"/>
  <c r="H22" i="2" s="1"/>
  <c r="J12" i="2"/>
  <c r="I21" i="2"/>
  <c r="I22" i="2" s="1"/>
  <c r="I31" i="2" s="1"/>
  <c r="J21" i="2"/>
  <c r="J22" i="2" s="1"/>
  <c r="K11" i="2"/>
  <c r="K12" i="2" s="1"/>
  <c r="E35" i="2"/>
  <c r="E37" i="2" s="1"/>
  <c r="F35" i="2" s="1"/>
  <c r="J31" i="2" l="1"/>
  <c r="F22" i="2"/>
  <c r="B16" i="7"/>
  <c r="B15" i="7"/>
  <c r="B17" i="7"/>
  <c r="B18" i="7"/>
  <c r="F21" i="2"/>
  <c r="F11" i="2"/>
  <c r="L21" i="2"/>
  <c r="L22" i="2" s="1"/>
  <c r="L31" i="2" s="1"/>
  <c r="J30" i="2"/>
  <c r="J33" i="2" s="1"/>
  <c r="J24" i="2"/>
  <c r="H24" i="2"/>
  <c r="H31" i="2"/>
  <c r="H33" i="2" s="1"/>
  <c r="K24" i="2"/>
  <c r="K30" i="2"/>
  <c r="K33" i="2" s="1"/>
  <c r="F31" i="2" l="1"/>
  <c r="F12" i="2"/>
  <c r="L11" i="2"/>
  <c r="L12" i="2" s="1"/>
  <c r="I12" i="2"/>
  <c r="F30" i="2" l="1"/>
  <c r="F33" i="2" s="1"/>
  <c r="F37" i="2" s="1"/>
  <c r="I24" i="2"/>
  <c r="F24" i="2" s="1"/>
  <c r="I30" i="2"/>
  <c r="I33" i="2" s="1"/>
  <c r="L30" i="2"/>
  <c r="L33" i="2" s="1"/>
  <c r="L24" i="2"/>
</calcChain>
</file>

<file path=xl/sharedStrings.xml><?xml version="1.0" encoding="utf-8"?>
<sst xmlns="http://schemas.openxmlformats.org/spreadsheetml/2006/main" count="280" uniqueCount="157">
  <si>
    <t>2016-17</t>
  </si>
  <si>
    <t>2017-18</t>
  </si>
  <si>
    <t>2018-19</t>
  </si>
  <si>
    <t>2019-20</t>
  </si>
  <si>
    <t>2020-21</t>
  </si>
  <si>
    <t>Actual</t>
  </si>
  <si>
    <t>Projection</t>
  </si>
  <si>
    <t>Budget</t>
  </si>
  <si>
    <t>Operating receipts</t>
  </si>
  <si>
    <t>Q1</t>
  </si>
  <si>
    <t>Q2</t>
  </si>
  <si>
    <t>Q3</t>
  </si>
  <si>
    <t>Q4</t>
  </si>
  <si>
    <t>Total</t>
  </si>
  <si>
    <t>Precept</t>
  </si>
  <si>
    <t>BDBC grants</t>
  </si>
  <si>
    <t>Lenthsman grants</t>
  </si>
  <si>
    <t>Tenancies</t>
  </si>
  <si>
    <t>Investment income</t>
  </si>
  <si>
    <t>Miscellaneous receipts</t>
  </si>
  <si>
    <t>Recoverable VAT</t>
  </si>
  <si>
    <t>Operating payments</t>
  </si>
  <si>
    <t>Salary costs</t>
  </si>
  <si>
    <t>Parish office</t>
  </si>
  <si>
    <t>Finance &amp; insurance</t>
  </si>
  <si>
    <t>Maintenance of parish grounds &amp; facilities</t>
  </si>
  <si>
    <t>Maintenance on behalf of other agents</t>
  </si>
  <si>
    <t>Miscellaneous payments</t>
  </si>
  <si>
    <t>VAT incurred</t>
  </si>
  <si>
    <t>Net operating surplus/deficit</t>
  </si>
  <si>
    <t>Projects receipts</t>
  </si>
  <si>
    <t>Projects payments</t>
  </si>
  <si>
    <t>Surplus/deficit from projects</t>
  </si>
  <si>
    <t>Total receipts (operating + project)</t>
  </si>
  <si>
    <t>Total payments (operating + project)</t>
  </si>
  <si>
    <t>Net surplus/deficit</t>
  </si>
  <si>
    <t>Opening reserves</t>
  </si>
  <si>
    <t>Closing reserves</t>
  </si>
  <si>
    <t>Receipts</t>
  </si>
  <si>
    <t>CTS grant</t>
  </si>
  <si>
    <t>Maintenance grants (grass cutting)</t>
  </si>
  <si>
    <t>Maintenance grants (wicket maintenance)</t>
  </si>
  <si>
    <t>Street cleaning grant</t>
  </si>
  <si>
    <t>Lengthsman grants</t>
  </si>
  <si>
    <t>Lengthsman grant for SMB</t>
  </si>
  <si>
    <t>Lengthsman grant for associate parish/town councils</t>
  </si>
  <si>
    <t>Lengthsman overpayments invoiced to parish/town councils</t>
  </si>
  <si>
    <t>Lengthsman commission</t>
  </si>
  <si>
    <t>Village shop</t>
  </si>
  <si>
    <t>Bowling club</t>
  </si>
  <si>
    <t>Clubs &amp; societies</t>
  </si>
  <si>
    <t>Cricket club (frozen at £1,700)</t>
  </si>
  <si>
    <t>Football clubs</t>
  </si>
  <si>
    <t>Fishing syndicate</t>
  </si>
  <si>
    <t>Model yacht club</t>
  </si>
  <si>
    <t>Other ad hoc users of the recreation ground &amp;/or pavilion</t>
  </si>
  <si>
    <t>Income on fixed term bond</t>
  </si>
  <si>
    <t>Interest on accounts</t>
  </si>
  <si>
    <t>Miscellaneous receipts &amp; events</t>
  </si>
  <si>
    <t>Wayleave payment</t>
  </si>
  <si>
    <t>Hill &amp; Valley surplus refund</t>
  </si>
  <si>
    <t>S137 projects - community events</t>
  </si>
  <si>
    <t>Projects</t>
  </si>
  <si>
    <t>Neighbourhood plan</t>
  </si>
  <si>
    <t>Flood prevention projects</t>
  </si>
  <si>
    <t>BEST projects - highways improvements</t>
  </si>
  <si>
    <t>LIF - Batsford</t>
  </si>
  <si>
    <t>S106 projects - open spaces improvements</t>
  </si>
  <si>
    <t>HPFA grant</t>
  </si>
  <si>
    <t>VAT refund</t>
  </si>
  <si>
    <t>VAT</t>
  </si>
  <si>
    <t>Payments</t>
  </si>
  <si>
    <t>Clerk's salary</t>
  </si>
  <si>
    <t>OS</t>
  </si>
  <si>
    <t>Employer's NIC</t>
  </si>
  <si>
    <t>Hire of village centre</t>
  </si>
  <si>
    <t>Z</t>
  </si>
  <si>
    <t>HR consultancy &amp; payroll fees</t>
  </si>
  <si>
    <t>V20</t>
  </si>
  <si>
    <t>Training &amp; conferences</t>
  </si>
  <si>
    <t>IT &amp; other hardware</t>
  </si>
  <si>
    <t>IT Software costs</t>
  </si>
  <si>
    <t>Mileage &amp; travel</t>
  </si>
  <si>
    <t>Office sundries</t>
  </si>
  <si>
    <t>Postage</t>
  </si>
  <si>
    <t>E</t>
  </si>
  <si>
    <t>Printing &amp; stationery</t>
  </si>
  <si>
    <t>Subscriptions</t>
  </si>
  <si>
    <t>Telephone</t>
  </si>
  <si>
    <t>Audit fees</t>
  </si>
  <si>
    <t>Insurance</t>
  </si>
  <si>
    <t>Batsford</t>
  </si>
  <si>
    <t>Defibrillator maintenance</t>
  </si>
  <si>
    <t>Ground maintenance contract</t>
  </si>
  <si>
    <t>Recreation ground maintenance (tasks 1, 2 &amp; 11)</t>
  </si>
  <si>
    <t>Lake maintenance (task 8)</t>
  </si>
  <si>
    <t>Hirst copse maintenance (tasks 3, 4 &amp; 5)</t>
  </si>
  <si>
    <t>War memorial &amp; garden</t>
  </si>
  <si>
    <t>The Summerhaugh</t>
  </si>
  <si>
    <t>Stoke play area</t>
  </si>
  <si>
    <t>Footpath maintenance (task 7)</t>
  </si>
  <si>
    <t>Other irregular &amp; miscellaneous maintenance (tasks 6 &amp; 9)</t>
  </si>
  <si>
    <t>Recreation ground maintenance (tasks 10 - pest control, not in contract)</t>
  </si>
  <si>
    <t>Recreation ground &amp; lake maintenance (other)</t>
  </si>
  <si>
    <t>Pavillion maintenance</t>
  </si>
  <si>
    <t>Play areas maintenance</t>
  </si>
  <si>
    <t>Recreation ground water</t>
  </si>
  <si>
    <t>Recreation ground electricity</t>
  </si>
  <si>
    <t>V5</t>
  </si>
  <si>
    <t>Jubilee lamp electricity</t>
  </si>
  <si>
    <t>Tree maintenance</t>
  </si>
  <si>
    <t>Wicket maintenance (task 12)</t>
  </si>
  <si>
    <t>Grants, events &amp; contingencies</t>
  </si>
  <si>
    <t>Hill &amp; Valley printing</t>
  </si>
  <si>
    <t>Contingencies</t>
  </si>
  <si>
    <t>Street cleaning</t>
  </si>
  <si>
    <t>Lengthsman SMB</t>
  </si>
  <si>
    <t>Lengthsman associate parish/town councils</t>
  </si>
  <si>
    <t>Broadband project</t>
  </si>
  <si>
    <t>Planters</t>
  </si>
  <si>
    <t>Sports projects</t>
  </si>
  <si>
    <t>Stoke phone box</t>
  </si>
  <si>
    <t>SID/CSW</t>
  </si>
  <si>
    <t>BEST projects - CFI highways improvements</t>
  </si>
  <si>
    <t xml:space="preserve"> - fees</t>
  </si>
  <si>
    <t xml:space="preserve"> - new signs &amp; road markings</t>
  </si>
  <si>
    <t xml:space="preserve"> - SIDs</t>
  </si>
  <si>
    <t>LIF projects</t>
  </si>
  <si>
    <t xml:space="preserve"> - Batsford pick up/set down area</t>
  </si>
  <si>
    <t xml:space="preserve"> - Replacement swings at Stoke</t>
  </si>
  <si>
    <t xml:space="preserve"> - Equipment for recreation ground - adult fitness equipment</t>
  </si>
  <si>
    <t xml:space="preserve"> - Equipment for recreation ground - table tennis table</t>
  </si>
  <si>
    <t xml:space="preserve"> - Equipment for recreation ground - kids fit trail</t>
  </si>
  <si>
    <t>Pavilion replacement project</t>
  </si>
  <si>
    <t>- Architect &amp; planning fees</t>
  </si>
  <si>
    <t>VAT on payments</t>
  </si>
  <si>
    <t>General reserve requirement</t>
  </si>
  <si>
    <t>3-12 months expenditure based on following expenditure:</t>
  </si>
  <si>
    <t>- Staff costs</t>
  </si>
  <si>
    <t>- Parish office costs</t>
  </si>
  <si>
    <t>- Finance &amp; insurance costs</t>
  </si>
  <si>
    <t>- Tenancies</t>
  </si>
  <si>
    <t>- Maintenance of parish grounds &amp; facilities</t>
  </si>
  <si>
    <t>- Miscellaneous payments - H&amp;V grant</t>
  </si>
  <si>
    <t>- Litter warden (continue even if no BDBC funding)</t>
  </si>
  <si>
    <t>- S137 grants</t>
  </si>
  <si>
    <t>- VAT (where applicable) on above payments</t>
  </si>
  <si>
    <t>Minimum general reserve - 3 months</t>
  </si>
  <si>
    <t>General reserve - 6 months</t>
  </si>
  <si>
    <t>General reserve - 9 months</t>
  </si>
  <si>
    <t>Maximum general reserve - 12 months</t>
  </si>
  <si>
    <t>21-22</t>
  </si>
  <si>
    <t xml:space="preserve">Actual </t>
  </si>
  <si>
    <t>2021-22</t>
  </si>
  <si>
    <t>- Lengthsman for SMB</t>
  </si>
  <si>
    <t>22-23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</si>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</sst>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scheme val="minor"/>
    </font>
    <font>
      <i/>
      <sz val="11"/>
      <color theme="0" tint="-0.34998626667073579"/>
      <name val="Calibri"/>
      <scheme val="minor"/>
    </font>
    <font>
      <i/>
      <sz val="11"/>
      <name val="Calibri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4" fillId="0" borderId="1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3" fontId="0" fillId="0" borderId="4" xfId="0" applyNumberFormat="1" applyBorder="1"/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3" fillId="0" borderId="8" xfId="0" applyNumberFormat="1" applyFont="1" applyBorder="1"/>
    <xf numFmtId="3" fontId="0" fillId="2" borderId="4" xfId="0" applyNumberFormat="1" applyFill="1" applyBorder="1"/>
    <xf numFmtId="3" fontId="0" fillId="0" borderId="5" xfId="0" applyNumberFormat="1" applyBorder="1"/>
    <xf numFmtId="3" fontId="0" fillId="2" borderId="5" xfId="0" applyNumberFormat="1" applyFill="1" applyBorder="1"/>
    <xf numFmtId="3" fontId="0" fillId="2" borderId="10" xfId="0" applyNumberFormat="1" applyFill="1" applyBorder="1"/>
    <xf numFmtId="0" fontId="0" fillId="0" borderId="0" xfId="0" quotePrefix="1"/>
    <xf numFmtId="3" fontId="0" fillId="0" borderId="11" xfId="0" applyNumberFormat="1" applyBorder="1"/>
    <xf numFmtId="3" fontId="7" fillId="2" borderId="3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49" fontId="0" fillId="0" borderId="0" xfId="0" applyNumberFormat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12" xfId="0" applyNumberFormat="1" applyFill="1" applyBorder="1"/>
    <xf numFmtId="49" fontId="3" fillId="0" borderId="6" xfId="0" applyNumberFormat="1" applyFont="1" applyBorder="1" applyAlignment="1">
      <alignment horizontal="center"/>
    </xf>
    <xf numFmtId="3" fontId="0" fillId="2" borderId="9" xfId="0" applyNumberForma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49" fontId="4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3" fontId="11" fillId="0" borderId="1" xfId="0" applyNumberFormat="1" applyFont="1" applyBorder="1"/>
    <xf numFmtId="3" fontId="9" fillId="2" borderId="8" xfId="0" applyNumberFormat="1" applyFont="1" applyFill="1" applyBorder="1"/>
    <xf numFmtId="3" fontId="9" fillId="0" borderId="8" xfId="0" applyNumberFormat="1" applyFont="1" applyBorder="1"/>
    <xf numFmtId="3" fontId="4" fillId="2" borderId="7" xfId="0" applyNumberFormat="1" applyFont="1" applyFill="1" applyBorder="1"/>
    <xf numFmtId="3" fontId="3" fillId="0" borderId="12" xfId="0" applyNumberFormat="1" applyFont="1" applyBorder="1"/>
    <xf numFmtId="3" fontId="0" fillId="0" borderId="12" xfId="0" applyNumberFormat="1" applyBorder="1"/>
    <xf numFmtId="3" fontId="4" fillId="2" borderId="12" xfId="0" applyNumberFormat="1" applyFont="1" applyFill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0" xfId="0" applyNumberFormat="1" applyBorder="1"/>
    <xf numFmtId="3" fontId="7" fillId="0" borderId="15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7" fillId="0" borderId="16" xfId="0" applyNumberFormat="1" applyFont="1" applyBorder="1" applyAlignment="1">
      <alignment horizontal="centerContinuous"/>
    </xf>
    <xf numFmtId="3" fontId="3" fillId="0" borderId="9" xfId="0" applyNumberFormat="1" applyFont="1" applyBorder="1"/>
    <xf numFmtId="3" fontId="13" fillId="0" borderId="8" xfId="0" applyNumberFormat="1" applyFont="1" applyBorder="1"/>
    <xf numFmtId="0" fontId="0" fillId="0" borderId="0" xfId="0" applyFont="1"/>
    <xf numFmtId="3" fontId="0" fillId="0" borderId="0" xfId="0" applyNumberFormat="1" applyFont="1"/>
    <xf numFmtId="3" fontId="0" fillId="2" borderId="7" xfId="0" applyNumberFormat="1" applyFont="1" applyFill="1" applyBorder="1"/>
    <xf numFmtId="3" fontId="0" fillId="0" borderId="7" xfId="0" applyNumberFormat="1" applyFont="1" applyBorder="1"/>
    <xf numFmtId="3" fontId="7" fillId="0" borderId="6" xfId="0" applyNumberFormat="1" applyFont="1" applyBorder="1" applyAlignment="1">
      <alignment horizontal="center"/>
    </xf>
    <xf numFmtId="0" fontId="12" fillId="0" borderId="0" xfId="0" applyFont="1"/>
    <xf numFmtId="49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workbookViewId="0">
      <pane xSplit="1" ySplit="2" topLeftCell="D3" activePane="bottomRight" state="frozenSplit"/>
      <selection pane="topRight" activeCell="F1" sqref="F1"/>
      <selection pane="bottomLeft" activeCell="A14" sqref="A14"/>
      <selection pane="bottomRight" activeCell="M2" sqref="M2:Q37"/>
    </sheetView>
  </sheetViews>
  <sheetFormatPr defaultColWidth="8.86328125" defaultRowHeight="14.25" x14ac:dyDescent="0.45"/>
  <cols>
    <col min="1" max="1" width="39.1328125" bestFit="1" customWidth="1"/>
    <col min="2" max="2" width="7.86328125" style="3" bestFit="1" customWidth="1"/>
    <col min="3" max="3" width="8.265625" style="3" bestFit="1" customWidth="1"/>
    <col min="4" max="5" width="10.1328125" style="3" bestFit="1" customWidth="1"/>
    <col min="6" max="6" width="8.86328125" style="7"/>
    <col min="7" max="7" width="2.73046875" customWidth="1"/>
    <col min="8" max="10" width="7.265625" style="3" bestFit="1" customWidth="1"/>
    <col min="11" max="12" width="8.265625" style="3" bestFit="1" customWidth="1"/>
    <col min="13" max="13" width="5.33203125" bestFit="1" customWidth="1"/>
  </cols>
  <sheetData>
    <row r="1" spans="1:17" s="1" customFormat="1" x14ac:dyDescent="0.45">
      <c r="B1" s="29" t="s">
        <v>0</v>
      </c>
      <c r="C1" s="29" t="s">
        <v>1</v>
      </c>
      <c r="D1" s="29" t="s">
        <v>2</v>
      </c>
      <c r="E1" s="29" t="s">
        <v>3</v>
      </c>
      <c r="F1" s="34" t="s">
        <v>4</v>
      </c>
      <c r="H1" s="62" t="s">
        <v>153</v>
      </c>
      <c r="I1" s="63"/>
      <c r="J1" s="63"/>
      <c r="K1" s="63"/>
      <c r="L1" s="64"/>
      <c r="M1" s="1" t="s">
        <v>155</v>
      </c>
    </row>
    <row r="2" spans="1:17" s="1" customFormat="1" ht="14.65" thickBot="1" x14ac:dyDescent="0.5">
      <c r="B2" s="2" t="s">
        <v>5</v>
      </c>
      <c r="C2" s="2" t="s">
        <v>5</v>
      </c>
      <c r="D2" s="2" t="s">
        <v>5</v>
      </c>
      <c r="E2" s="2" t="s">
        <v>152</v>
      </c>
      <c r="F2" s="15" t="s">
        <v>6</v>
      </c>
      <c r="H2" s="52" t="s">
        <v>7</v>
      </c>
      <c r="I2" s="51"/>
      <c r="J2" s="51"/>
      <c r="K2" s="51"/>
      <c r="L2" s="53"/>
      <c r="M2" s="52" t="s">
        <v>7</v>
      </c>
      <c r="N2" s="51"/>
      <c r="O2" s="51"/>
      <c r="P2" s="51"/>
      <c r="Q2" s="53"/>
    </row>
    <row r="3" spans="1:17" x14ac:dyDescent="0.45">
      <c r="A3" s="6" t="s">
        <v>8</v>
      </c>
      <c r="F3" s="16"/>
      <c r="H3" s="24" t="s">
        <v>9</v>
      </c>
      <c r="I3" s="25" t="s">
        <v>10</v>
      </c>
      <c r="J3" s="24" t="s">
        <v>11</v>
      </c>
      <c r="K3" s="25" t="s">
        <v>12</v>
      </c>
      <c r="L3" s="30" t="s">
        <v>13</v>
      </c>
      <c r="M3" s="24" t="s">
        <v>9</v>
      </c>
      <c r="N3" s="25" t="s">
        <v>10</v>
      </c>
      <c r="O3" s="24" t="s">
        <v>11</v>
      </c>
      <c r="P3" s="25" t="s">
        <v>12</v>
      </c>
      <c r="Q3" s="30" t="s">
        <v>13</v>
      </c>
    </row>
    <row r="4" spans="1:17" x14ac:dyDescent="0.45">
      <c r="A4" t="s">
        <v>14</v>
      </c>
      <c r="B4" s="3">
        <f>Receipts!B6</f>
        <v>19497</v>
      </c>
      <c r="C4" s="3">
        <f>Receipts!C6</f>
        <v>19497</v>
      </c>
      <c r="D4" s="3">
        <f>Receipts!D6</f>
        <v>19497</v>
      </c>
      <c r="E4" s="3">
        <f>Receipts!E6</f>
        <v>22917</v>
      </c>
      <c r="F4" s="16">
        <f t="shared" ref="F4:F11" si="0">SUM(H4:K4)</f>
        <v>28778.959999999999</v>
      </c>
      <c r="H4" s="18">
        <f>Receipts!H6</f>
        <v>28777.96</v>
      </c>
      <c r="I4" s="14">
        <f>Receipts!I6</f>
        <v>1</v>
      </c>
      <c r="J4" s="18">
        <f>Receipts!J6</f>
        <v>0</v>
      </c>
      <c r="K4" s="14">
        <f>Receipts!K6</f>
        <v>0</v>
      </c>
      <c r="L4" s="31">
        <f t="shared" ref="L4:L11" si="1">SUM(H4:K4)</f>
        <v>28778.959999999999</v>
      </c>
      <c r="M4" s="18">
        <f>Receipts!L6</f>
        <v>13349</v>
      </c>
      <c r="N4" s="14">
        <f>Receipts!M6</f>
        <v>13349</v>
      </c>
      <c r="O4" s="18">
        <f>Receipts!N6</f>
        <v>0</v>
      </c>
      <c r="P4" s="14">
        <f>Receipts!O6</f>
        <v>0</v>
      </c>
      <c r="Q4" s="31">
        <f t="shared" ref="Q4:Q11" si="2">SUM(M4:P4)</f>
        <v>26698</v>
      </c>
    </row>
    <row r="5" spans="1:17" x14ac:dyDescent="0.45">
      <c r="A5" t="s">
        <v>15</v>
      </c>
      <c r="B5" s="3">
        <f>Receipts!B13</f>
        <v>15077.2</v>
      </c>
      <c r="C5" s="3">
        <f>Receipts!C13</f>
        <v>13636</v>
      </c>
      <c r="D5" s="3">
        <f>Receipts!D13</f>
        <v>13301</v>
      </c>
      <c r="E5" s="3">
        <f>Receipts!E13</f>
        <v>12976</v>
      </c>
      <c r="F5" s="16">
        <f t="shared" si="0"/>
        <v>30858</v>
      </c>
      <c r="H5" s="18">
        <f>Receipts!H13</f>
        <v>15400</v>
      </c>
      <c r="I5" s="14">
        <f>Receipts!I13</f>
        <v>15458</v>
      </c>
      <c r="J5" s="18">
        <f>Receipts!J13</f>
        <v>0</v>
      </c>
      <c r="K5" s="14">
        <f>Receipts!K13</f>
        <v>0</v>
      </c>
      <c r="L5" s="31">
        <f t="shared" si="1"/>
        <v>30858</v>
      </c>
      <c r="M5" s="18">
        <f>Receipts!L13</f>
        <v>15400</v>
      </c>
      <c r="N5" s="14">
        <f>Receipts!M13</f>
        <v>0</v>
      </c>
      <c r="O5" s="18">
        <f>Receipts!N13</f>
        <v>0</v>
      </c>
      <c r="P5" s="14">
        <f>Receipts!O13</f>
        <v>0</v>
      </c>
      <c r="Q5" s="31">
        <f t="shared" si="2"/>
        <v>15400</v>
      </c>
    </row>
    <row r="6" spans="1:17" x14ac:dyDescent="0.45">
      <c r="A6" t="s">
        <v>16</v>
      </c>
      <c r="B6" s="3">
        <f>Receipts!B19</f>
        <v>13730</v>
      </c>
      <c r="C6" s="3">
        <f>Receipts!C19</f>
        <v>15520</v>
      </c>
      <c r="D6" s="3">
        <f>Receipts!D19</f>
        <v>15700</v>
      </c>
      <c r="E6" s="3">
        <f>Receipts!E19</f>
        <v>15497</v>
      </c>
      <c r="F6" s="16">
        <f t="shared" si="0"/>
        <v>15400</v>
      </c>
      <c r="H6" s="18">
        <f>Receipts!H19</f>
        <v>15400</v>
      </c>
      <c r="I6" s="14">
        <f>Receipts!I19</f>
        <v>0</v>
      </c>
      <c r="J6" s="18">
        <f>Receipts!J19</f>
        <v>0</v>
      </c>
      <c r="K6" s="14">
        <f>Receipts!K19</f>
        <v>0</v>
      </c>
      <c r="L6" s="31">
        <f t="shared" si="1"/>
        <v>15400</v>
      </c>
      <c r="M6" s="18">
        <f>Receipts!L19</f>
        <v>15400</v>
      </c>
      <c r="N6" s="14">
        <f>Receipts!M19</f>
        <v>0</v>
      </c>
      <c r="O6" s="18">
        <f>Receipts!N19</f>
        <v>0</v>
      </c>
      <c r="P6" s="14">
        <f>Receipts!O19</f>
        <v>0</v>
      </c>
      <c r="Q6" s="31">
        <f t="shared" si="2"/>
        <v>15400</v>
      </c>
    </row>
    <row r="7" spans="1:17" x14ac:dyDescent="0.45">
      <c r="A7" t="s">
        <v>17</v>
      </c>
      <c r="B7" s="3">
        <f>Receipts!B23</f>
        <v>2</v>
      </c>
      <c r="C7" s="3">
        <f>Receipts!C23</f>
        <v>2</v>
      </c>
      <c r="D7" s="3">
        <f>Receipts!D23</f>
        <v>2</v>
      </c>
      <c r="E7" s="3">
        <f>Receipts!E23</f>
        <v>2</v>
      </c>
      <c r="F7" s="16">
        <f t="shared" si="0"/>
        <v>2</v>
      </c>
      <c r="H7" s="18">
        <f>Receipts!H23</f>
        <v>0</v>
      </c>
      <c r="I7" s="14">
        <f>Receipts!I23</f>
        <v>2</v>
      </c>
      <c r="J7" s="18">
        <f>Receipts!J23</f>
        <v>0</v>
      </c>
      <c r="K7" s="14">
        <f>Receipts!K23</f>
        <v>0</v>
      </c>
      <c r="L7" s="31">
        <f t="shared" si="1"/>
        <v>2</v>
      </c>
      <c r="M7" s="18">
        <f>Receipts!L23</f>
        <v>0</v>
      </c>
      <c r="N7" s="14">
        <f>Receipts!M23</f>
        <v>2</v>
      </c>
      <c r="O7" s="18">
        <f>Receipts!N23</f>
        <v>0</v>
      </c>
      <c r="P7" s="14">
        <f>Receipts!O23</f>
        <v>0</v>
      </c>
      <c r="Q7" s="31">
        <f t="shared" si="2"/>
        <v>2</v>
      </c>
    </row>
    <row r="8" spans="1:17" x14ac:dyDescent="0.45">
      <c r="A8" t="s">
        <v>50</v>
      </c>
      <c r="B8" s="3">
        <f>Receipts!B31</f>
        <v>4575.59</v>
      </c>
      <c r="C8" s="3">
        <f>Receipts!C31</f>
        <v>3076</v>
      </c>
      <c r="D8" s="3">
        <f>Receipts!D31</f>
        <v>3778</v>
      </c>
      <c r="E8" s="3">
        <f>Receipts!E31</f>
        <v>3391</v>
      </c>
      <c r="F8" s="16">
        <f t="shared" si="0"/>
        <v>1290.5</v>
      </c>
      <c r="H8" s="18">
        <f>Receipts!H31</f>
        <v>780.5</v>
      </c>
      <c r="I8" s="14">
        <f>Receipts!I31</f>
        <v>510</v>
      </c>
      <c r="J8" s="18">
        <f>Receipts!J31</f>
        <v>0</v>
      </c>
      <c r="K8" s="14">
        <f>Receipts!K31</f>
        <v>0</v>
      </c>
      <c r="L8" s="31">
        <f t="shared" si="1"/>
        <v>1290.5</v>
      </c>
      <c r="M8" s="18">
        <f>Receipts!L31</f>
        <v>585.17000000000007</v>
      </c>
      <c r="N8" s="14">
        <f>Receipts!M31</f>
        <v>510</v>
      </c>
      <c r="O8" s="18">
        <f>Receipts!N31</f>
        <v>0</v>
      </c>
      <c r="P8" s="14">
        <f>Receipts!O31</f>
        <v>0</v>
      </c>
      <c r="Q8" s="31">
        <f t="shared" si="2"/>
        <v>1095.17</v>
      </c>
    </row>
    <row r="9" spans="1:17" x14ac:dyDescent="0.45">
      <c r="A9" t="s">
        <v>18</v>
      </c>
      <c r="B9" s="3">
        <f>Receipts!B35</f>
        <v>228.78</v>
      </c>
      <c r="C9" s="3">
        <f>Receipts!C35</f>
        <v>180</v>
      </c>
      <c r="D9" s="3">
        <f>Receipts!D35</f>
        <v>176</v>
      </c>
      <c r="E9" s="3">
        <f>Receipts!E35</f>
        <v>226</v>
      </c>
      <c r="F9" s="16">
        <f t="shared" si="0"/>
        <v>6</v>
      </c>
      <c r="H9" s="18">
        <v>3</v>
      </c>
      <c r="I9" s="14">
        <v>3</v>
      </c>
      <c r="J9" s="18">
        <f>Receipts!J35</f>
        <v>0</v>
      </c>
      <c r="K9" s="14">
        <f>Receipts!K35</f>
        <v>0</v>
      </c>
      <c r="L9" s="31">
        <f t="shared" si="1"/>
        <v>6</v>
      </c>
      <c r="M9" s="18">
        <v>3</v>
      </c>
      <c r="N9" s="14">
        <v>3</v>
      </c>
      <c r="O9" s="18">
        <f>Receipts!N35</f>
        <v>0</v>
      </c>
      <c r="P9" s="14">
        <f>Receipts!O35</f>
        <v>0</v>
      </c>
      <c r="Q9" s="31">
        <f t="shared" si="2"/>
        <v>6</v>
      </c>
    </row>
    <row r="10" spans="1:17" x14ac:dyDescent="0.45">
      <c r="A10" t="s">
        <v>19</v>
      </c>
      <c r="B10" s="3">
        <f>Receipts!B40</f>
        <v>542.34</v>
      </c>
      <c r="C10" s="3">
        <f>Receipts!C40</f>
        <v>4049</v>
      </c>
      <c r="D10" s="3">
        <f>Receipts!D40</f>
        <v>42</v>
      </c>
      <c r="E10" s="3">
        <f>Receipts!E40</f>
        <v>42</v>
      </c>
      <c r="F10" s="16">
        <f t="shared" si="0"/>
        <v>42</v>
      </c>
      <c r="H10" s="18">
        <f>Receipts!H40</f>
        <v>42</v>
      </c>
      <c r="I10" s="14">
        <f>Receipts!I40</f>
        <v>0</v>
      </c>
      <c r="J10" s="18">
        <f>Receipts!J40</f>
        <v>0</v>
      </c>
      <c r="K10" s="14">
        <f>Receipts!K40</f>
        <v>0</v>
      </c>
      <c r="L10" s="31">
        <f t="shared" si="1"/>
        <v>42</v>
      </c>
      <c r="M10" s="18">
        <f>Receipts!L40</f>
        <v>42</v>
      </c>
      <c r="N10" s="14">
        <f>Receipts!M40</f>
        <v>0</v>
      </c>
      <c r="O10" s="18">
        <f>Receipts!N40</f>
        <v>0</v>
      </c>
      <c r="P10" s="14">
        <f>Receipts!O40</f>
        <v>0</v>
      </c>
      <c r="Q10" s="31">
        <f t="shared" si="2"/>
        <v>42</v>
      </c>
    </row>
    <row r="11" spans="1:17" x14ac:dyDescent="0.45">
      <c r="A11" t="s">
        <v>20</v>
      </c>
      <c r="B11" s="3">
        <f>Receipts!B50</f>
        <v>2810.36</v>
      </c>
      <c r="C11" s="3">
        <f>Receipts!C50</f>
        <v>6920</v>
      </c>
      <c r="D11" s="3">
        <f>Receipts!D50</f>
        <v>17556</v>
      </c>
      <c r="E11" s="3">
        <f>Receipts!E50</f>
        <v>12555</v>
      </c>
      <c r="F11" s="16">
        <f t="shared" si="0"/>
        <v>5952.15</v>
      </c>
      <c r="H11" s="18">
        <f>Receipts!H50</f>
        <v>2398.15</v>
      </c>
      <c r="I11" s="14">
        <v>3554</v>
      </c>
      <c r="J11" s="18"/>
      <c r="K11" s="14">
        <f>Receipts!K50</f>
        <v>0</v>
      </c>
      <c r="L11" s="31">
        <f t="shared" si="1"/>
        <v>5952.15</v>
      </c>
      <c r="M11" s="18">
        <f>Receipts!L50</f>
        <v>2398.15</v>
      </c>
      <c r="N11" s="14">
        <v>3554</v>
      </c>
      <c r="O11" s="18"/>
      <c r="P11" s="14">
        <f>Receipts!O50</f>
        <v>0</v>
      </c>
      <c r="Q11" s="31">
        <f t="shared" si="2"/>
        <v>5952.15</v>
      </c>
    </row>
    <row r="12" spans="1:17" x14ac:dyDescent="0.45">
      <c r="B12" s="4">
        <f>SUM(B4:B11)</f>
        <v>56463.26999999999</v>
      </c>
      <c r="C12" s="4">
        <f>SUM(C4:C11)</f>
        <v>62880</v>
      </c>
      <c r="D12" s="4">
        <f>SUM(D4:D11)</f>
        <v>70052</v>
      </c>
      <c r="E12" s="4">
        <f>SUM(E4:E11)</f>
        <v>67606</v>
      </c>
      <c r="F12" s="17">
        <f>SUM(F4:F11)</f>
        <v>82329.609999999986</v>
      </c>
      <c r="H12" s="20">
        <f t="shared" ref="H12:Q12" si="3">SUM(H4:H11)</f>
        <v>62801.61</v>
      </c>
      <c r="I12" s="19">
        <f t="shared" si="3"/>
        <v>19528</v>
      </c>
      <c r="J12" s="20">
        <f t="shared" si="3"/>
        <v>0</v>
      </c>
      <c r="K12" s="19">
        <f t="shared" si="3"/>
        <v>0</v>
      </c>
      <c r="L12" s="32">
        <f t="shared" si="3"/>
        <v>82329.609999999986</v>
      </c>
      <c r="M12" s="20">
        <f t="shared" si="3"/>
        <v>47177.32</v>
      </c>
      <c r="N12" s="19">
        <f t="shared" si="3"/>
        <v>17418</v>
      </c>
      <c r="O12" s="20">
        <f t="shared" si="3"/>
        <v>0</v>
      </c>
      <c r="P12" s="19">
        <f t="shared" si="3"/>
        <v>0</v>
      </c>
      <c r="Q12" s="32">
        <f t="shared" si="3"/>
        <v>64595.32</v>
      </c>
    </row>
    <row r="13" spans="1:17" x14ac:dyDescent="0.45">
      <c r="A13" s="6" t="s">
        <v>21</v>
      </c>
      <c r="F13" s="16"/>
      <c r="H13" s="18"/>
      <c r="I13" s="14"/>
      <c r="J13" s="18"/>
      <c r="K13" s="14"/>
      <c r="L13" s="31"/>
      <c r="M13" s="18"/>
      <c r="N13" s="14"/>
      <c r="O13" s="18"/>
      <c r="P13" s="14"/>
      <c r="Q13" s="31"/>
    </row>
    <row r="14" spans="1:17" x14ac:dyDescent="0.45">
      <c r="A14" t="s">
        <v>22</v>
      </c>
      <c r="B14" s="3">
        <f>Payments!C7</f>
        <v>-10179.299999999999</v>
      </c>
      <c r="C14" s="3">
        <f>Payments!D7</f>
        <v>-11400</v>
      </c>
      <c r="D14" s="3">
        <f>Payments!E7</f>
        <v>-10191</v>
      </c>
      <c r="E14" s="3">
        <f>Payments!F7</f>
        <v>-11654</v>
      </c>
      <c r="F14" s="16">
        <v>11945</v>
      </c>
      <c r="H14" s="18">
        <f>Payments!I7</f>
        <v>-2986.2378000000003</v>
      </c>
      <c r="I14" s="14">
        <f>Payments!J7</f>
        <v>-2986.2378000000003</v>
      </c>
      <c r="J14" s="18">
        <f>Payments!K7</f>
        <v>-2986.2378000000003</v>
      </c>
      <c r="K14" s="14">
        <f>Payments!L7</f>
        <v>-2986.2378000000003</v>
      </c>
      <c r="L14" s="31">
        <f t="shared" ref="L14:L21" si="4">SUM(H14:K14)</f>
        <v>-11944.951200000001</v>
      </c>
      <c r="M14" s="18">
        <f>Payments!N7</f>
        <v>0</v>
      </c>
      <c r="N14" s="14">
        <f>Payments!O7</f>
        <v>-2986.2378000000003</v>
      </c>
      <c r="O14" s="18">
        <f>Payments!P7</f>
        <v>-2986.2378000000003</v>
      </c>
      <c r="P14" s="14">
        <f>Payments!Q7</f>
        <v>-2986.2378000000003</v>
      </c>
      <c r="Q14" s="31">
        <f t="shared" ref="Q14" si="5">SUM(M14:P14)</f>
        <v>-8958.7134000000005</v>
      </c>
    </row>
    <row r="15" spans="1:17" x14ac:dyDescent="0.45">
      <c r="A15" t="s">
        <v>23</v>
      </c>
      <c r="B15" s="3">
        <f>Payments!C20</f>
        <v>-6409.8600000000006</v>
      </c>
      <c r="C15" s="3">
        <f>Payments!D20</f>
        <v>-7158</v>
      </c>
      <c r="D15" s="3">
        <f>Payments!E20</f>
        <v>-7203</v>
      </c>
      <c r="E15" s="3">
        <f>Payments!F20</f>
        <v>-7716</v>
      </c>
      <c r="F15" s="16">
        <f t="shared" ref="F15:F28" si="6">SUM(H15:K15)</f>
        <v>4600</v>
      </c>
      <c r="H15" s="18">
        <v>2300</v>
      </c>
      <c r="I15" s="14"/>
      <c r="J15" s="18">
        <v>2300</v>
      </c>
      <c r="K15" s="14"/>
      <c r="L15" s="31"/>
      <c r="M15" s="18">
        <v>2300</v>
      </c>
      <c r="N15" s="14"/>
      <c r="O15" s="18">
        <v>2300</v>
      </c>
      <c r="P15" s="14"/>
      <c r="Q15" s="31"/>
    </row>
    <row r="16" spans="1:17" x14ac:dyDescent="0.45">
      <c r="A16" t="s">
        <v>24</v>
      </c>
      <c r="B16" s="3">
        <f>Payments!C24</f>
        <v>-2762.99</v>
      </c>
      <c r="C16" s="3">
        <f>Payments!D24</f>
        <v>-2859</v>
      </c>
      <c r="D16" s="3">
        <f>Payments!E24</f>
        <v>-2418</v>
      </c>
      <c r="E16" s="3">
        <f>Payments!F24</f>
        <v>-2445</v>
      </c>
      <c r="F16" s="16">
        <f t="shared" si="6"/>
        <v>1070</v>
      </c>
      <c r="H16" s="18">
        <f>Payments!I24</f>
        <v>-165</v>
      </c>
      <c r="I16" s="14">
        <f>Payments!J24</f>
        <v>1400</v>
      </c>
      <c r="J16" s="18">
        <f>Payments!K24</f>
        <v>-165</v>
      </c>
      <c r="K16" s="14">
        <f>Payments!L24</f>
        <v>0</v>
      </c>
      <c r="L16" s="31">
        <f t="shared" si="4"/>
        <v>1070</v>
      </c>
      <c r="M16" s="18">
        <f>Payments!N24</f>
        <v>0</v>
      </c>
      <c r="N16" s="14">
        <f>Payments!O24</f>
        <v>-165</v>
      </c>
      <c r="O16" s="18">
        <f>Payments!P24</f>
        <v>1400</v>
      </c>
      <c r="P16" s="14">
        <f>Payments!Q24</f>
        <v>-165</v>
      </c>
      <c r="Q16" s="31">
        <f t="shared" ref="Q16:Q21" si="7">SUM(M16:P16)</f>
        <v>1070</v>
      </c>
    </row>
    <row r="17" spans="1:17" x14ac:dyDescent="0.45">
      <c r="A17" t="s">
        <v>17</v>
      </c>
      <c r="B17" s="3">
        <f>Payments!C27</f>
        <v>-1</v>
      </c>
      <c r="C17" s="3">
        <f>Payments!D27</f>
        <v>-1</v>
      </c>
      <c r="D17" s="3">
        <f>Payments!E27</f>
        <v>-1</v>
      </c>
      <c r="E17" s="3">
        <f>Payments!F27</f>
        <v>-1</v>
      </c>
      <c r="F17" s="16">
        <f t="shared" si="6"/>
        <v>-1</v>
      </c>
      <c r="H17" s="18">
        <f>Payments!I27</f>
        <v>0</v>
      </c>
      <c r="I17" s="14">
        <f>Payments!J27</f>
        <v>-1</v>
      </c>
      <c r="J17" s="18">
        <f>Payments!K27</f>
        <v>0</v>
      </c>
      <c r="K17" s="14">
        <f>Payments!L27</f>
        <v>0</v>
      </c>
      <c r="L17" s="31">
        <f t="shared" si="4"/>
        <v>-1</v>
      </c>
      <c r="M17" s="18">
        <f>Payments!N27</f>
        <v>0</v>
      </c>
      <c r="N17" s="14">
        <f>Payments!O27</f>
        <v>0</v>
      </c>
      <c r="O17" s="18">
        <f>Payments!P27</f>
        <v>-1</v>
      </c>
      <c r="P17" s="14">
        <f>Payments!Q27</f>
        <v>0</v>
      </c>
      <c r="Q17" s="31">
        <f t="shared" si="7"/>
        <v>-1</v>
      </c>
    </row>
    <row r="18" spans="1:17" x14ac:dyDescent="0.45">
      <c r="A18" t="s">
        <v>25</v>
      </c>
      <c r="B18" s="3">
        <f>Payments!C49</f>
        <v>-13499.210000000001</v>
      </c>
      <c r="C18" s="3">
        <f>Payments!D49</f>
        <v>-11998</v>
      </c>
      <c r="D18" s="3">
        <f>Payments!E49</f>
        <v>-13428</v>
      </c>
      <c r="E18" s="3">
        <f>Payments!F49</f>
        <v>-16817</v>
      </c>
      <c r="F18" s="16">
        <f t="shared" si="6"/>
        <v>250375.5</v>
      </c>
      <c r="H18" s="18">
        <f>Payments!I49</f>
        <v>62831.5</v>
      </c>
      <c r="I18" s="14">
        <f>Payments!J49</f>
        <v>62087.5</v>
      </c>
      <c r="J18" s="18">
        <f>Payments!K49</f>
        <v>63369</v>
      </c>
      <c r="K18" s="14">
        <f>Payments!L49</f>
        <v>62087.5</v>
      </c>
      <c r="L18" s="31">
        <f t="shared" si="4"/>
        <v>250375.5</v>
      </c>
      <c r="M18" s="18">
        <f>Payments!N49</f>
        <v>0</v>
      </c>
      <c r="N18" s="14">
        <f>Payments!O49</f>
        <v>-4768.5</v>
      </c>
      <c r="O18" s="18">
        <f>Payments!P49</f>
        <v>-5512.5</v>
      </c>
      <c r="P18" s="14">
        <f>Payments!Q49</f>
        <v>-4231</v>
      </c>
      <c r="Q18" s="31">
        <f t="shared" si="7"/>
        <v>-14512</v>
      </c>
    </row>
    <row r="19" spans="1:17" x14ac:dyDescent="0.45">
      <c r="A19" t="s">
        <v>26</v>
      </c>
      <c r="B19" s="3">
        <f>Payments!C59</f>
        <v>-16070.6</v>
      </c>
      <c r="C19" s="3">
        <f>Payments!D59</f>
        <v>-14002</v>
      </c>
      <c r="D19" s="3">
        <f>Payments!E59</f>
        <v>-20759</v>
      </c>
      <c r="E19" s="3">
        <f>Payments!F59</f>
        <v>-15803</v>
      </c>
      <c r="F19" s="16" t="e">
        <f t="shared" si="6"/>
        <v>#REF!</v>
      </c>
      <c r="H19" s="18" t="e">
        <f>Payments!I59</f>
        <v>#REF!</v>
      </c>
      <c r="I19" s="14" t="e">
        <f>Payments!J59</f>
        <v>#REF!</v>
      </c>
      <c r="J19" s="18" t="e">
        <f>Payments!K59</f>
        <v>#REF!</v>
      </c>
      <c r="K19" s="14" t="e">
        <f>Payments!L59</f>
        <v>#REF!</v>
      </c>
      <c r="L19" s="31" t="e">
        <f t="shared" si="4"/>
        <v>#REF!</v>
      </c>
      <c r="M19" s="18">
        <f>Payments!N59</f>
        <v>0</v>
      </c>
      <c r="N19" s="14" t="e">
        <f>Payments!O59</f>
        <v>#REF!</v>
      </c>
      <c r="O19" s="18" t="e">
        <f>Payments!P59</f>
        <v>#REF!</v>
      </c>
      <c r="P19" s="14" t="e">
        <f>Payments!Q59</f>
        <v>#REF!</v>
      </c>
      <c r="Q19" s="31" t="e">
        <f t="shared" si="7"/>
        <v>#REF!</v>
      </c>
    </row>
    <row r="20" spans="1:17" x14ac:dyDescent="0.45">
      <c r="A20" t="s">
        <v>27</v>
      </c>
      <c r="B20" s="3">
        <f>Payments!C54</f>
        <v>-1230</v>
      </c>
      <c r="C20" s="3">
        <f>Payments!D54</f>
        <v>-1130</v>
      </c>
      <c r="D20" s="3">
        <f>Payments!E54</f>
        <v>-730</v>
      </c>
      <c r="E20" s="3">
        <f>Payments!F54</f>
        <v>-712</v>
      </c>
      <c r="F20" s="16">
        <f t="shared" si="6"/>
        <v>12052.86</v>
      </c>
      <c r="H20" s="18">
        <f>Payments!I54</f>
        <v>2457.65</v>
      </c>
      <c r="I20" s="14">
        <f>Payments!J54</f>
        <v>3237.7000000000003</v>
      </c>
      <c r="J20" s="18">
        <f>Payments!K54</f>
        <v>3087.06</v>
      </c>
      <c r="K20" s="14">
        <f>Payments!L54</f>
        <v>3270.4500000000003</v>
      </c>
      <c r="L20" s="31">
        <f t="shared" si="4"/>
        <v>12052.86</v>
      </c>
      <c r="M20" s="18">
        <f>Payments!N54</f>
        <v>0</v>
      </c>
      <c r="N20" s="14">
        <f>Payments!O54</f>
        <v>-918.3</v>
      </c>
      <c r="O20" s="18">
        <f>Payments!P54</f>
        <v>-142.30000000000001</v>
      </c>
      <c r="P20" s="14">
        <f>Payments!Q54</f>
        <v>-292.94</v>
      </c>
      <c r="Q20" s="31">
        <f t="shared" si="7"/>
        <v>-1353.54</v>
      </c>
    </row>
    <row r="21" spans="1:17" x14ac:dyDescent="0.45">
      <c r="A21" t="s">
        <v>28</v>
      </c>
      <c r="B21" s="3">
        <f>Payments!C83</f>
        <v>-6920.08</v>
      </c>
      <c r="C21" s="3">
        <f>Payments!D83</f>
        <v>-12354</v>
      </c>
      <c r="D21" s="3">
        <f>Payments!E83</f>
        <v>-9795</v>
      </c>
      <c r="E21" s="3">
        <f>Payments!F83</f>
        <v>-11457</v>
      </c>
      <c r="F21" s="16">
        <f t="shared" si="6"/>
        <v>44192.312000000005</v>
      </c>
      <c r="H21" s="18">
        <f>Payments!I83</f>
        <v>10535.080000000002</v>
      </c>
      <c r="I21" s="14">
        <f>Payments!J83</f>
        <v>10339.290000000001</v>
      </c>
      <c r="J21" s="18">
        <f>Payments!K83</f>
        <v>11130.502</v>
      </c>
      <c r="K21" s="14">
        <f>Payments!L83</f>
        <v>12187.44</v>
      </c>
      <c r="L21" s="31">
        <f t="shared" si="4"/>
        <v>44192.312000000005</v>
      </c>
      <c r="M21" s="18">
        <f>Payments!N83</f>
        <v>0</v>
      </c>
      <c r="N21" s="14">
        <f>Payments!O83</f>
        <v>-3643.91</v>
      </c>
      <c r="O21" s="18">
        <f>Payments!P83</f>
        <v>-3856.71</v>
      </c>
      <c r="P21" s="14">
        <f>Payments!Q83</f>
        <v>-3065.498</v>
      </c>
      <c r="Q21" s="31">
        <f t="shared" si="7"/>
        <v>-10566.118</v>
      </c>
    </row>
    <row r="22" spans="1:17" x14ac:dyDescent="0.45">
      <c r="B22" s="4">
        <f>SUM(B14:B21)</f>
        <v>-57073.04</v>
      </c>
      <c r="C22" s="4">
        <f>SUM(C14:C21)</f>
        <v>-60902</v>
      </c>
      <c r="D22" s="4">
        <f>SUM(D14:D21)</f>
        <v>-64525</v>
      </c>
      <c r="E22" s="4">
        <f>SUM(E14:E21)</f>
        <v>-66605</v>
      </c>
      <c r="F22" s="16" t="e">
        <f t="shared" si="6"/>
        <v>#REF!</v>
      </c>
      <c r="H22" s="20" t="e">
        <f t="shared" ref="H22:Q22" si="8">SUM(H14:H21)</f>
        <v>#REF!</v>
      </c>
      <c r="I22" s="19" t="e">
        <f t="shared" si="8"/>
        <v>#REF!</v>
      </c>
      <c r="J22" s="20" t="e">
        <f t="shared" si="8"/>
        <v>#REF!</v>
      </c>
      <c r="K22" s="19" t="e">
        <f t="shared" si="8"/>
        <v>#REF!</v>
      </c>
      <c r="L22" s="32" t="e">
        <f t="shared" si="8"/>
        <v>#REF!</v>
      </c>
      <c r="M22" s="20">
        <f t="shared" si="8"/>
        <v>2300</v>
      </c>
      <c r="N22" s="19" t="e">
        <f t="shared" si="8"/>
        <v>#REF!</v>
      </c>
      <c r="O22" s="20" t="e">
        <f t="shared" si="8"/>
        <v>#REF!</v>
      </c>
      <c r="P22" s="19" t="e">
        <f t="shared" si="8"/>
        <v>#REF!</v>
      </c>
      <c r="Q22" s="32" t="e">
        <f t="shared" si="8"/>
        <v>#REF!</v>
      </c>
    </row>
    <row r="23" spans="1:17" x14ac:dyDescent="0.45">
      <c r="F23" s="16"/>
      <c r="H23" s="18"/>
      <c r="I23" s="14"/>
      <c r="J23" s="18"/>
      <c r="K23" s="14"/>
      <c r="L23" s="31"/>
      <c r="M23" s="18"/>
      <c r="N23" s="14"/>
      <c r="O23" s="18"/>
      <c r="P23" s="14"/>
      <c r="Q23" s="31"/>
    </row>
    <row r="24" spans="1:17" x14ac:dyDescent="0.45">
      <c r="A24" s="6" t="s">
        <v>29</v>
      </c>
      <c r="B24" s="3">
        <f>B12+B22</f>
        <v>-609.77000000001135</v>
      </c>
      <c r="C24" s="3">
        <f>C12+C22</f>
        <v>1978</v>
      </c>
      <c r="D24" s="3">
        <f>D12+D22</f>
        <v>5527</v>
      </c>
      <c r="E24" s="3">
        <f>E12+E22</f>
        <v>1001</v>
      </c>
      <c r="F24" s="16" t="e">
        <f t="shared" si="6"/>
        <v>#REF!</v>
      </c>
      <c r="H24" s="18" t="e">
        <f t="shared" ref="H24:Q24" si="9">H12+H22</f>
        <v>#REF!</v>
      </c>
      <c r="I24" s="14" t="e">
        <f t="shared" si="9"/>
        <v>#REF!</v>
      </c>
      <c r="J24" s="18" t="e">
        <f t="shared" si="9"/>
        <v>#REF!</v>
      </c>
      <c r="K24" s="14" t="e">
        <f t="shared" si="9"/>
        <v>#REF!</v>
      </c>
      <c r="L24" s="31" t="e">
        <f t="shared" si="9"/>
        <v>#REF!</v>
      </c>
      <c r="M24" s="18">
        <f t="shared" si="9"/>
        <v>49477.32</v>
      </c>
      <c r="N24" s="14" t="e">
        <f t="shared" si="9"/>
        <v>#REF!</v>
      </c>
      <c r="O24" s="18" t="e">
        <f t="shared" si="9"/>
        <v>#REF!</v>
      </c>
      <c r="P24" s="14" t="e">
        <f t="shared" si="9"/>
        <v>#REF!</v>
      </c>
      <c r="Q24" s="31" t="e">
        <f t="shared" si="9"/>
        <v>#REF!</v>
      </c>
    </row>
    <row r="25" spans="1:17" x14ac:dyDescent="0.45">
      <c r="F25" s="16"/>
      <c r="H25" s="18"/>
      <c r="I25" s="14"/>
      <c r="J25" s="18"/>
      <c r="K25" s="14"/>
      <c r="L25" s="31"/>
      <c r="M25" s="18"/>
      <c r="N25" s="14"/>
      <c r="O25" s="18"/>
      <c r="P25" s="14"/>
      <c r="Q25" s="31"/>
    </row>
    <row r="26" spans="1:17" x14ac:dyDescent="0.45">
      <c r="A26" t="s">
        <v>30</v>
      </c>
      <c r="B26" s="3">
        <f>Receipts!B48</f>
        <v>8965</v>
      </c>
      <c r="C26" s="3">
        <f>Receipts!C48</f>
        <v>25500</v>
      </c>
      <c r="D26" s="3">
        <f>Receipts!D48</f>
        <v>42570</v>
      </c>
      <c r="E26" s="3">
        <f>Receipts!E48</f>
        <v>27682</v>
      </c>
      <c r="F26" s="16">
        <f t="shared" si="6"/>
        <v>8732</v>
      </c>
      <c r="H26" s="18">
        <f>Receipts!H48</f>
        <v>0</v>
      </c>
      <c r="I26" s="14">
        <f>Receipts!I48</f>
        <v>8732</v>
      </c>
      <c r="J26" s="18">
        <f>Receipts!J48</f>
        <v>0</v>
      </c>
      <c r="K26" s="14">
        <f>Receipts!K48</f>
        <v>0</v>
      </c>
      <c r="L26" s="31">
        <f>SUM(H26:K26)</f>
        <v>8732</v>
      </c>
      <c r="M26" s="18">
        <f>Receipts!L48</f>
        <v>0</v>
      </c>
      <c r="N26" s="14">
        <f>Receipts!M48</f>
        <v>8732</v>
      </c>
      <c r="O26" s="18">
        <f>Receipts!N48</f>
        <v>0</v>
      </c>
      <c r="P26" s="14">
        <f>Receipts!O48</f>
        <v>0</v>
      </c>
      <c r="Q26" s="31">
        <f>SUM(M26:P26)</f>
        <v>8732</v>
      </c>
    </row>
    <row r="27" spans="1:17" x14ac:dyDescent="0.45">
      <c r="A27" t="s">
        <v>31</v>
      </c>
      <c r="B27" s="3">
        <f>Payments!C81</f>
        <v>-12214.7</v>
      </c>
      <c r="C27" s="3">
        <f>Payments!D81</f>
        <v>-39709</v>
      </c>
      <c r="D27" s="3">
        <f>Payments!E81</f>
        <v>-19285</v>
      </c>
      <c r="E27" s="3">
        <f>Payments!F81</f>
        <v>-23678</v>
      </c>
      <c r="F27" s="16">
        <f>SUM(H27:K27)</f>
        <v>-23765</v>
      </c>
      <c r="H27" s="18">
        <f>Payments!I81</f>
        <v>-8982</v>
      </c>
      <c r="I27" s="14">
        <f>Payments!J81</f>
        <v>-8983</v>
      </c>
      <c r="J27" s="18">
        <f>Payments!K81</f>
        <v>-5550</v>
      </c>
      <c r="K27" s="14">
        <f>Payments!L81</f>
        <v>-250</v>
      </c>
      <c r="L27" s="31">
        <f>SUM(H27:K27)</f>
        <v>-23765</v>
      </c>
      <c r="M27" s="18">
        <f>Payments!N81</f>
        <v>0</v>
      </c>
      <c r="N27" s="14">
        <f>Payments!O81</f>
        <v>-8982</v>
      </c>
      <c r="O27" s="18">
        <f>Payments!P81</f>
        <v>-8983</v>
      </c>
      <c r="P27" s="14">
        <f>Payments!Q81</f>
        <v>-5550</v>
      </c>
      <c r="Q27" s="31">
        <f>SUM(M27:P27)</f>
        <v>-23515</v>
      </c>
    </row>
    <row r="28" spans="1:17" x14ac:dyDescent="0.45">
      <c r="A28" t="s">
        <v>32</v>
      </c>
      <c r="B28" s="4">
        <f>SUM(B26:B27)</f>
        <v>-3249.7000000000007</v>
      </c>
      <c r="C28" s="4">
        <f>SUM(C26:C27)</f>
        <v>-14209</v>
      </c>
      <c r="D28" s="4">
        <f>SUM(D26:D27)</f>
        <v>23285</v>
      </c>
      <c r="E28" s="4">
        <f>SUM(E26:E27)</f>
        <v>4004</v>
      </c>
      <c r="F28" s="16">
        <f t="shared" si="6"/>
        <v>-15033</v>
      </c>
      <c r="H28" s="32">
        <f t="shared" ref="H28:Q28" si="10">SUM(H26:H27)</f>
        <v>-8982</v>
      </c>
      <c r="I28" s="27">
        <f t="shared" si="10"/>
        <v>-251</v>
      </c>
      <c r="J28" s="32">
        <f t="shared" si="10"/>
        <v>-5550</v>
      </c>
      <c r="K28" s="27">
        <f t="shared" si="10"/>
        <v>-250</v>
      </c>
      <c r="L28" s="32">
        <f t="shared" si="10"/>
        <v>-15033</v>
      </c>
      <c r="M28" s="32">
        <f t="shared" si="10"/>
        <v>0</v>
      </c>
      <c r="N28" s="27">
        <f t="shared" si="10"/>
        <v>-250</v>
      </c>
      <c r="O28" s="32">
        <f t="shared" si="10"/>
        <v>-8983</v>
      </c>
      <c r="P28" s="27">
        <f t="shared" si="10"/>
        <v>-5550</v>
      </c>
      <c r="Q28" s="32">
        <f t="shared" si="10"/>
        <v>-14783</v>
      </c>
    </row>
    <row r="29" spans="1:17" x14ac:dyDescent="0.45">
      <c r="F29" s="16"/>
      <c r="H29" s="18"/>
      <c r="I29" s="14"/>
      <c r="J29" s="18"/>
      <c r="K29" s="14"/>
      <c r="L29" s="31"/>
      <c r="M29" s="18"/>
      <c r="N29" s="14"/>
      <c r="O29" s="18"/>
      <c r="P29" s="14"/>
      <c r="Q29" s="31"/>
    </row>
    <row r="30" spans="1:17" x14ac:dyDescent="0.45">
      <c r="A30" s="6" t="s">
        <v>33</v>
      </c>
      <c r="B30" s="3">
        <f>B12+B26</f>
        <v>65428.26999999999</v>
      </c>
      <c r="C30" s="3">
        <f>C12+C26</f>
        <v>88380</v>
      </c>
      <c r="D30" s="3">
        <f>D12+D26</f>
        <v>112622</v>
      </c>
      <c r="E30" s="3">
        <f>E12+E26</f>
        <v>95288</v>
      </c>
      <c r="F30" s="16">
        <f>F12+F26</f>
        <v>91061.609999999986</v>
      </c>
      <c r="H30" s="18">
        <f t="shared" ref="H30:Q30" si="11">H12+H26</f>
        <v>62801.61</v>
      </c>
      <c r="I30" s="14">
        <f t="shared" si="11"/>
        <v>28260</v>
      </c>
      <c r="J30" s="18">
        <f t="shared" si="11"/>
        <v>0</v>
      </c>
      <c r="K30" s="14">
        <f t="shared" si="11"/>
        <v>0</v>
      </c>
      <c r="L30" s="31">
        <f t="shared" si="11"/>
        <v>91061.609999999986</v>
      </c>
      <c r="M30" s="18">
        <f t="shared" si="11"/>
        <v>47177.32</v>
      </c>
      <c r="N30" s="14">
        <f t="shared" si="11"/>
        <v>26150</v>
      </c>
      <c r="O30" s="18">
        <f t="shared" si="11"/>
        <v>0</v>
      </c>
      <c r="P30" s="14">
        <f t="shared" si="11"/>
        <v>0</v>
      </c>
      <c r="Q30" s="31">
        <f t="shared" si="11"/>
        <v>73327.320000000007</v>
      </c>
    </row>
    <row r="31" spans="1:17" x14ac:dyDescent="0.45">
      <c r="A31" s="6" t="s">
        <v>34</v>
      </c>
      <c r="B31" s="3">
        <f>B22+B27</f>
        <v>-69287.740000000005</v>
      </c>
      <c r="C31" s="3">
        <f>C22+C27</f>
        <v>-100611</v>
      </c>
      <c r="D31" s="3">
        <f>D22+D27</f>
        <v>-83810</v>
      </c>
      <c r="E31" s="3">
        <f>E22+E27</f>
        <v>-90283</v>
      </c>
      <c r="F31" s="16" t="e">
        <f>F22+F27</f>
        <v>#REF!</v>
      </c>
      <c r="H31" s="18" t="e">
        <f t="shared" ref="H31:Q31" si="12">H22+H27</f>
        <v>#REF!</v>
      </c>
      <c r="I31" s="14" t="e">
        <f t="shared" si="12"/>
        <v>#REF!</v>
      </c>
      <c r="J31" s="18" t="e">
        <f t="shared" si="12"/>
        <v>#REF!</v>
      </c>
      <c r="K31" s="14" t="e">
        <f t="shared" si="12"/>
        <v>#REF!</v>
      </c>
      <c r="L31" s="31" t="e">
        <f t="shared" si="12"/>
        <v>#REF!</v>
      </c>
      <c r="M31" s="18">
        <f t="shared" si="12"/>
        <v>2300</v>
      </c>
      <c r="N31" s="14" t="e">
        <f t="shared" si="12"/>
        <v>#REF!</v>
      </c>
      <c r="O31" s="18" t="e">
        <f t="shared" si="12"/>
        <v>#REF!</v>
      </c>
      <c r="P31" s="14" t="e">
        <f t="shared" si="12"/>
        <v>#REF!</v>
      </c>
      <c r="Q31" s="31" t="e">
        <f t="shared" si="12"/>
        <v>#REF!</v>
      </c>
    </row>
    <row r="32" spans="1:17" x14ac:dyDescent="0.45">
      <c r="F32" s="16"/>
      <c r="H32" s="18"/>
      <c r="I32" s="14"/>
      <c r="J32" s="18"/>
      <c r="K32" s="14"/>
      <c r="L32" s="31"/>
      <c r="M32" s="18"/>
      <c r="N32" s="14"/>
      <c r="O32" s="18"/>
      <c r="P32" s="14"/>
      <c r="Q32" s="31"/>
    </row>
    <row r="33" spans="1:17" ht="14.65" thickBot="1" x14ac:dyDescent="0.5">
      <c r="A33" s="6" t="s">
        <v>35</v>
      </c>
      <c r="B33" s="3">
        <f>SUM(B30:B31)</f>
        <v>-3859.4700000000157</v>
      </c>
      <c r="C33" s="3">
        <f>SUM(C30:C31)</f>
        <v>-12231</v>
      </c>
      <c r="D33" s="3">
        <f>SUM(D30:D31)</f>
        <v>28812</v>
      </c>
      <c r="E33" s="3">
        <f>SUM(E30:E31)</f>
        <v>5005</v>
      </c>
      <c r="F33" s="16" t="e">
        <f>SUM(F30:F31)</f>
        <v>#REF!</v>
      </c>
      <c r="H33" s="21" t="e">
        <f t="shared" ref="H33:Q33" si="13">SUM(H30:H31)</f>
        <v>#REF!</v>
      </c>
      <c r="I33" s="50" t="e">
        <f t="shared" si="13"/>
        <v>#REF!</v>
      </c>
      <c r="J33" s="21" t="e">
        <f t="shared" si="13"/>
        <v>#REF!</v>
      </c>
      <c r="K33" s="50" t="e">
        <f t="shared" si="13"/>
        <v>#REF!</v>
      </c>
      <c r="L33" s="33" t="e">
        <f t="shared" si="13"/>
        <v>#REF!</v>
      </c>
      <c r="M33" s="21">
        <f t="shared" si="13"/>
        <v>49477.32</v>
      </c>
      <c r="N33" s="50" t="e">
        <f t="shared" si="13"/>
        <v>#REF!</v>
      </c>
      <c r="O33" s="21" t="e">
        <f t="shared" si="13"/>
        <v>#REF!</v>
      </c>
      <c r="P33" s="50" t="e">
        <f t="shared" si="13"/>
        <v>#REF!</v>
      </c>
      <c r="Q33" s="33" t="e">
        <f t="shared" si="13"/>
        <v>#REF!</v>
      </c>
    </row>
    <row r="34" spans="1:17" x14ac:dyDescent="0.45">
      <c r="F34" s="16"/>
      <c r="M34" s="3"/>
      <c r="N34" s="3"/>
      <c r="O34" s="3"/>
      <c r="P34" s="3"/>
      <c r="Q34" s="3"/>
    </row>
    <row r="35" spans="1:17" x14ac:dyDescent="0.45">
      <c r="A35" t="s">
        <v>36</v>
      </c>
      <c r="B35" s="3">
        <v>44083</v>
      </c>
      <c r="C35" s="3">
        <f>B37</f>
        <v>40223.529999999984</v>
      </c>
      <c r="D35" s="3">
        <f>C37</f>
        <v>27992.529999999984</v>
      </c>
      <c r="E35" s="3">
        <f>D37</f>
        <v>56804.529999999984</v>
      </c>
      <c r="F35" s="16">
        <f>E37</f>
        <v>61809.529999999984</v>
      </c>
      <c r="M35" s="3"/>
      <c r="N35" s="3"/>
      <c r="O35" s="3"/>
      <c r="P35" s="3"/>
      <c r="Q35" s="3"/>
    </row>
    <row r="36" spans="1:17" x14ac:dyDescent="0.45">
      <c r="F36" s="16"/>
      <c r="M36" s="3"/>
      <c r="N36" s="3"/>
      <c r="O36" s="3"/>
      <c r="P36" s="3"/>
      <c r="Q36" s="3"/>
    </row>
    <row r="37" spans="1:17" ht="14.65" thickBot="1" x14ac:dyDescent="0.5">
      <c r="A37" t="s">
        <v>37</v>
      </c>
      <c r="B37" s="5">
        <f>B35+B33</f>
        <v>40223.529999999984</v>
      </c>
      <c r="C37" s="5">
        <f>C35+C33</f>
        <v>27992.529999999984</v>
      </c>
      <c r="D37" s="5">
        <f>D35+D33</f>
        <v>56804.529999999984</v>
      </c>
      <c r="E37" s="5">
        <f>E35+E33</f>
        <v>61809.529999999984</v>
      </c>
      <c r="F37" s="54" t="e">
        <f t="shared" ref="F37" si="14">F35+F33</f>
        <v>#REF!</v>
      </c>
      <c r="M37" s="3"/>
      <c r="N37" s="3"/>
      <c r="O37" s="3"/>
      <c r="P37" s="3"/>
      <c r="Q37" s="3"/>
    </row>
    <row r="38" spans="1:17" ht="14.65" thickTop="1" x14ac:dyDescent="0.45"/>
  </sheetData>
  <mergeCells count="1">
    <mergeCell ref="H1:L1"/>
  </mergeCells>
  <phoneticPr fontId="8" type="noConversion"/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0"/>
  <sheetViews>
    <sheetView workbookViewId="0">
      <pane xSplit="1" ySplit="3" topLeftCell="B4" activePane="bottomRight" state="frozenSplit"/>
      <selection pane="topRight" activeCell="G1" sqref="G1"/>
      <selection pane="bottomLeft" activeCell="A3" sqref="A3"/>
      <selection pane="bottomRight" activeCell="J13" sqref="J13"/>
    </sheetView>
  </sheetViews>
  <sheetFormatPr defaultColWidth="8.86328125" defaultRowHeight="14.25" x14ac:dyDescent="0.45"/>
  <cols>
    <col min="1" max="1" width="55.3984375" bestFit="1" customWidth="1"/>
    <col min="2" max="3" width="7.86328125" style="3" bestFit="1" customWidth="1"/>
    <col min="4" max="4" width="7.86328125" style="3" customWidth="1"/>
    <col min="5" max="5" width="10.1328125" style="3" bestFit="1" customWidth="1"/>
    <col min="6" max="6" width="8.86328125" style="7"/>
    <col min="7" max="7" width="2.73046875" customWidth="1"/>
    <col min="8" max="9" width="6.73046875" style="3" bestFit="1" customWidth="1"/>
    <col min="10" max="10" width="6.3984375" style="3" bestFit="1" customWidth="1"/>
    <col min="11" max="11" width="7.265625" style="3" bestFit="1" customWidth="1"/>
    <col min="12" max="13" width="6.73046875" style="3" bestFit="1" customWidth="1"/>
    <col min="14" max="14" width="6.3984375" style="3" bestFit="1" customWidth="1"/>
    <col min="15" max="15" width="7.265625" style="3" bestFit="1" customWidth="1"/>
  </cols>
  <sheetData>
    <row r="1" spans="1:15" s="1" customFormat="1" x14ac:dyDescent="0.45">
      <c r="B1" s="29" t="s">
        <v>0</v>
      </c>
      <c r="C1" s="29" t="s">
        <v>1</v>
      </c>
      <c r="D1" s="29" t="s">
        <v>2</v>
      </c>
      <c r="E1" s="29" t="s">
        <v>3</v>
      </c>
      <c r="F1" s="34" t="s">
        <v>4</v>
      </c>
      <c r="H1" s="62" t="s">
        <v>151</v>
      </c>
      <c r="I1" s="63"/>
      <c r="J1" s="63"/>
      <c r="K1" s="64"/>
      <c r="L1" s="62" t="s">
        <v>155</v>
      </c>
      <c r="M1" s="63"/>
      <c r="N1" s="63"/>
      <c r="O1" s="64"/>
    </row>
    <row r="2" spans="1:15" s="1" customFormat="1" ht="14.65" thickBot="1" x14ac:dyDescent="0.5">
      <c r="B2" s="2"/>
      <c r="C2" s="2"/>
      <c r="D2" s="2"/>
      <c r="E2" s="2"/>
      <c r="F2" s="15"/>
      <c r="H2" s="52" t="s">
        <v>7</v>
      </c>
      <c r="I2" s="51"/>
      <c r="J2" s="51"/>
      <c r="K2" s="53"/>
      <c r="L2" s="52" t="s">
        <v>7</v>
      </c>
      <c r="M2" s="51"/>
      <c r="N2" s="51"/>
      <c r="O2" s="53"/>
    </row>
    <row r="3" spans="1:15" s="1" customFormat="1" x14ac:dyDescent="0.45">
      <c r="B3" s="2" t="s">
        <v>5</v>
      </c>
      <c r="C3" s="2" t="s">
        <v>5</v>
      </c>
      <c r="D3" s="2" t="s">
        <v>5</v>
      </c>
      <c r="E3" s="2" t="s">
        <v>152</v>
      </c>
      <c r="F3" s="15" t="s">
        <v>6</v>
      </c>
      <c r="H3" s="24" t="s">
        <v>9</v>
      </c>
      <c r="I3" s="25" t="s">
        <v>10</v>
      </c>
      <c r="J3" s="24" t="s">
        <v>11</v>
      </c>
      <c r="K3" s="60" t="s">
        <v>12</v>
      </c>
      <c r="L3" s="24" t="s">
        <v>9</v>
      </c>
      <c r="M3" s="25" t="s">
        <v>10</v>
      </c>
      <c r="N3" s="24" t="s">
        <v>11</v>
      </c>
      <c r="O3" s="60" t="s">
        <v>12</v>
      </c>
    </row>
    <row r="4" spans="1:15" x14ac:dyDescent="0.45">
      <c r="A4" s="6" t="s">
        <v>38</v>
      </c>
      <c r="F4" s="16"/>
      <c r="H4" s="31"/>
      <c r="I4" s="26"/>
      <c r="J4" s="44"/>
      <c r="K4" s="26"/>
      <c r="L4" s="31"/>
      <c r="M4" s="26"/>
      <c r="N4" s="44"/>
      <c r="O4" s="26"/>
    </row>
    <row r="5" spans="1:15" x14ac:dyDescent="0.45">
      <c r="F5" s="16"/>
      <c r="H5" s="31"/>
      <c r="I5" s="26"/>
      <c r="J5" s="44"/>
      <c r="K5" s="26"/>
      <c r="L5" s="31"/>
      <c r="M5" s="26"/>
      <c r="N5" s="44"/>
      <c r="O5" s="26"/>
    </row>
    <row r="6" spans="1:15" x14ac:dyDescent="0.45">
      <c r="A6" s="6" t="s">
        <v>14</v>
      </c>
      <c r="B6" s="3">
        <v>19497</v>
      </c>
      <c r="C6" s="3">
        <v>19497</v>
      </c>
      <c r="D6" s="3">
        <v>19497</v>
      </c>
      <c r="E6" s="3">
        <v>22917</v>
      </c>
      <c r="F6" s="16">
        <v>26698</v>
      </c>
      <c r="H6" s="31">
        <v>28777.96</v>
      </c>
      <c r="I6" s="26">
        <v>1</v>
      </c>
      <c r="J6" s="44"/>
      <c r="K6" s="26"/>
      <c r="L6" s="31">
        <v>13349</v>
      </c>
      <c r="M6" s="26">
        <v>13349</v>
      </c>
      <c r="N6" s="44"/>
      <c r="O6" s="26"/>
    </row>
    <row r="7" spans="1:15" x14ac:dyDescent="0.45">
      <c r="F7" s="16"/>
      <c r="H7" s="31"/>
      <c r="I7" s="26"/>
      <c r="J7" s="44"/>
      <c r="K7" s="26"/>
      <c r="L7" s="31"/>
      <c r="M7" s="26"/>
      <c r="N7" s="44"/>
      <c r="O7" s="26"/>
    </row>
    <row r="8" spans="1:15" x14ac:dyDescent="0.45">
      <c r="A8" s="6" t="s">
        <v>15</v>
      </c>
      <c r="F8" s="16"/>
      <c r="H8" s="31"/>
      <c r="I8" s="26"/>
      <c r="J8" s="44"/>
      <c r="K8" s="26"/>
      <c r="L8" s="31"/>
      <c r="M8" s="26"/>
      <c r="N8" s="44"/>
      <c r="O8" s="26"/>
    </row>
    <row r="9" spans="1:15" x14ac:dyDescent="0.45">
      <c r="A9" t="s">
        <v>39</v>
      </c>
      <c r="B9" s="3">
        <v>1503</v>
      </c>
      <c r="C9" s="3">
        <v>1002</v>
      </c>
      <c r="D9" s="3">
        <v>501</v>
      </c>
      <c r="E9" s="3">
        <v>0</v>
      </c>
      <c r="F9" s="16">
        <f>SUM(H9:K9)</f>
        <v>0</v>
      </c>
      <c r="H9" s="31"/>
      <c r="I9" s="26"/>
      <c r="J9" s="44"/>
      <c r="K9" s="26"/>
      <c r="L9" s="31"/>
      <c r="M9" s="26"/>
      <c r="N9" s="44"/>
      <c r="O9" s="26"/>
    </row>
    <row r="10" spans="1:15" x14ac:dyDescent="0.45">
      <c r="A10" t="s">
        <v>40</v>
      </c>
      <c r="B10" s="3">
        <v>7105</v>
      </c>
      <c r="C10" s="3">
        <v>6065</v>
      </c>
      <c r="D10" s="3">
        <v>6126</v>
      </c>
      <c r="E10" s="3">
        <v>6187</v>
      </c>
      <c r="F10" s="16">
        <f>SUM(H10:K10)</f>
        <v>6249</v>
      </c>
      <c r="H10" s="31">
        <v>6249</v>
      </c>
      <c r="I10" s="26"/>
      <c r="J10" s="44"/>
      <c r="K10" s="26"/>
      <c r="L10" s="31">
        <v>6249</v>
      </c>
      <c r="M10" s="26"/>
      <c r="N10" s="44"/>
      <c r="O10" s="26"/>
    </row>
    <row r="11" spans="1:15" x14ac:dyDescent="0.45">
      <c r="A11" t="s">
        <v>41</v>
      </c>
      <c r="B11" s="3">
        <v>5346</v>
      </c>
      <c r="C11" s="3">
        <v>5399</v>
      </c>
      <c r="D11" s="3">
        <v>5453</v>
      </c>
      <c r="E11" s="3">
        <v>5508</v>
      </c>
      <c r="F11" s="16">
        <f>SUM(H11:K11)</f>
        <v>5563</v>
      </c>
      <c r="H11" s="31">
        <v>5563</v>
      </c>
      <c r="I11" s="26"/>
      <c r="J11" s="44"/>
      <c r="K11" s="26"/>
      <c r="L11" s="31">
        <v>5563</v>
      </c>
      <c r="M11" s="26"/>
      <c r="N11" s="44"/>
      <c r="O11" s="26"/>
    </row>
    <row r="12" spans="1:15" x14ac:dyDescent="0.45">
      <c r="A12" t="s">
        <v>42</v>
      </c>
      <c r="B12" s="3">
        <v>1123.2</v>
      </c>
      <c r="C12" s="3">
        <v>1170</v>
      </c>
      <c r="D12" s="3">
        <v>1221</v>
      </c>
      <c r="E12" s="3">
        <v>1281</v>
      </c>
      <c r="F12" s="16" t="e">
        <f>SUM(H12:K12)</f>
        <v>#REF!</v>
      </c>
      <c r="H12" s="44" t="e">
        <f>1281*(1+#REF!)</f>
        <v>#REF!</v>
      </c>
      <c r="I12" s="26"/>
      <c r="J12" s="44"/>
      <c r="K12" s="26"/>
      <c r="L12" s="44">
        <f>1281*(1+P12)</f>
        <v>1281</v>
      </c>
      <c r="M12" s="26"/>
      <c r="N12" s="44"/>
      <c r="O12" s="26"/>
    </row>
    <row r="13" spans="1:15" x14ac:dyDescent="0.45">
      <c r="B13" s="4">
        <f>SUM(B9:B12)</f>
        <v>15077.2</v>
      </c>
      <c r="C13" s="4">
        <f>SUM(C9:C12)</f>
        <v>13636</v>
      </c>
      <c r="D13" s="4">
        <f>SUM(D9:D12)</f>
        <v>13301</v>
      </c>
      <c r="E13" s="4">
        <f>SUM(E9:E12)</f>
        <v>12976</v>
      </c>
      <c r="F13" s="17">
        <v>15400</v>
      </c>
      <c r="H13" s="32">
        <v>15400</v>
      </c>
      <c r="I13" s="27">
        <v>15458</v>
      </c>
      <c r="J13" s="32">
        <f t="shared" ref="J13:K13" si="0">SUM(J9:J12)</f>
        <v>0</v>
      </c>
      <c r="K13" s="27">
        <f t="shared" si="0"/>
        <v>0</v>
      </c>
      <c r="L13" s="32">
        <v>15400</v>
      </c>
      <c r="M13" s="27">
        <f t="shared" ref="M13:O13" si="1">SUM(M9:M12)</f>
        <v>0</v>
      </c>
      <c r="N13" s="32">
        <f t="shared" si="1"/>
        <v>0</v>
      </c>
      <c r="O13" s="27">
        <f t="shared" si="1"/>
        <v>0</v>
      </c>
    </row>
    <row r="14" spans="1:15" x14ac:dyDescent="0.45">
      <c r="A14" s="6" t="s">
        <v>43</v>
      </c>
      <c r="F14" s="16"/>
      <c r="H14" s="31"/>
      <c r="I14" s="26"/>
      <c r="J14" s="44"/>
      <c r="K14" s="26"/>
      <c r="L14" s="31"/>
      <c r="M14" s="26"/>
      <c r="N14" s="44"/>
      <c r="O14" s="26"/>
    </row>
    <row r="15" spans="1:15" x14ac:dyDescent="0.45">
      <c r="A15" t="s">
        <v>44</v>
      </c>
      <c r="B15" s="3">
        <v>1000</v>
      </c>
      <c r="C15" s="3">
        <v>1000</v>
      </c>
      <c r="D15" s="3">
        <v>1000</v>
      </c>
      <c r="E15" s="3">
        <v>1000</v>
      </c>
      <c r="F15" s="16">
        <f>SUM(H15:K15)</f>
        <v>1000</v>
      </c>
      <c r="H15" s="31">
        <v>1000</v>
      </c>
      <c r="I15" s="26"/>
      <c r="J15" s="44"/>
      <c r="K15" s="26"/>
      <c r="L15" s="31">
        <v>1000</v>
      </c>
      <c r="M15" s="26"/>
      <c r="N15" s="44"/>
      <c r="O15" s="26"/>
    </row>
    <row r="16" spans="1:15" x14ac:dyDescent="0.45">
      <c r="A16" t="s">
        <v>45</v>
      </c>
      <c r="B16" s="3">
        <v>11000</v>
      </c>
      <c r="C16" s="3">
        <v>13000</v>
      </c>
      <c r="D16" s="3">
        <v>13000</v>
      </c>
      <c r="E16" s="3">
        <v>13000</v>
      </c>
      <c r="F16" s="16">
        <f>SUM(H16:K16)</f>
        <v>13000</v>
      </c>
      <c r="H16" s="31">
        <v>13000</v>
      </c>
      <c r="I16" s="26"/>
      <c r="J16" s="44"/>
      <c r="K16" s="26"/>
      <c r="L16" s="31">
        <v>13000</v>
      </c>
      <c r="M16" s="26"/>
      <c r="N16" s="44"/>
      <c r="O16" s="26"/>
    </row>
    <row r="17" spans="1:15" x14ac:dyDescent="0.45">
      <c r="A17" t="s">
        <v>46</v>
      </c>
      <c r="B17" s="3">
        <v>530</v>
      </c>
      <c r="C17" s="3">
        <v>120</v>
      </c>
      <c r="D17" s="3">
        <v>300</v>
      </c>
      <c r="E17" s="3">
        <v>97</v>
      </c>
      <c r="F17" s="16">
        <f>SUM(H17:K17)</f>
        <v>0</v>
      </c>
      <c r="H17" s="31"/>
      <c r="I17" s="26"/>
      <c r="J17" s="44"/>
      <c r="K17" s="26"/>
      <c r="L17" s="31"/>
      <c r="M17" s="26"/>
      <c r="N17" s="44"/>
      <c r="O17" s="26"/>
    </row>
    <row r="18" spans="1:15" x14ac:dyDescent="0.45">
      <c r="A18" t="s">
        <v>47</v>
      </c>
      <c r="B18" s="3">
        <v>1200</v>
      </c>
      <c r="C18" s="3">
        <v>1400</v>
      </c>
      <c r="D18" s="3">
        <v>1400</v>
      </c>
      <c r="E18" s="3">
        <v>1400</v>
      </c>
      <c r="F18" s="16">
        <f>SUM(H18:K18)</f>
        <v>1400</v>
      </c>
      <c r="H18" s="31">
        <v>1400</v>
      </c>
      <c r="I18" s="26"/>
      <c r="J18" s="44"/>
      <c r="K18" s="26"/>
      <c r="L18" s="31">
        <v>1400</v>
      </c>
      <c r="M18" s="26"/>
      <c r="N18" s="44"/>
      <c r="O18" s="26"/>
    </row>
    <row r="19" spans="1:15" x14ac:dyDescent="0.45">
      <c r="B19" s="4">
        <f>SUM(B15:B18)</f>
        <v>13730</v>
      </c>
      <c r="C19" s="4">
        <f>SUM(C15:C18)</f>
        <v>15520</v>
      </c>
      <c r="D19" s="4">
        <f>SUM(D15:D18)</f>
        <v>15700</v>
      </c>
      <c r="E19" s="4">
        <f>SUM(E15:E18)</f>
        <v>15497</v>
      </c>
      <c r="F19" s="17">
        <f>SUM(F15:F18)</f>
        <v>15400</v>
      </c>
      <c r="H19" s="32">
        <f t="shared" ref="H19:K19" si="2">SUM(H15:H18)</f>
        <v>15400</v>
      </c>
      <c r="I19" s="27">
        <f t="shared" si="2"/>
        <v>0</v>
      </c>
      <c r="J19" s="32">
        <f t="shared" si="2"/>
        <v>0</v>
      </c>
      <c r="K19" s="27">
        <f t="shared" si="2"/>
        <v>0</v>
      </c>
      <c r="L19" s="32">
        <f t="shared" ref="L19:O19" si="3">SUM(L15:L18)</f>
        <v>15400</v>
      </c>
      <c r="M19" s="27">
        <f t="shared" si="3"/>
        <v>0</v>
      </c>
      <c r="N19" s="32">
        <f t="shared" si="3"/>
        <v>0</v>
      </c>
      <c r="O19" s="27">
        <f t="shared" si="3"/>
        <v>0</v>
      </c>
    </row>
    <row r="20" spans="1:15" x14ac:dyDescent="0.45">
      <c r="A20" s="6" t="s">
        <v>17</v>
      </c>
      <c r="F20" s="16"/>
      <c r="H20" s="31"/>
      <c r="I20" s="26"/>
      <c r="J20" s="44"/>
      <c r="K20" s="26"/>
      <c r="L20" s="31"/>
      <c r="M20" s="26"/>
      <c r="N20" s="44"/>
      <c r="O20" s="26"/>
    </row>
    <row r="21" spans="1:15" x14ac:dyDescent="0.45">
      <c r="A21" t="s">
        <v>48</v>
      </c>
      <c r="B21" s="3">
        <v>1</v>
      </c>
      <c r="C21" s="3">
        <v>1</v>
      </c>
      <c r="D21" s="3">
        <v>1</v>
      </c>
      <c r="E21" s="3">
        <v>1</v>
      </c>
      <c r="F21" s="16">
        <f>SUM(H21:K21)</f>
        <v>1</v>
      </c>
      <c r="H21" s="31"/>
      <c r="I21" s="26">
        <v>1</v>
      </c>
      <c r="J21" s="44"/>
      <c r="K21" s="26"/>
      <c r="L21" s="31"/>
      <c r="M21" s="26">
        <v>1</v>
      </c>
      <c r="N21" s="44"/>
      <c r="O21" s="26"/>
    </row>
    <row r="22" spans="1:15" x14ac:dyDescent="0.45">
      <c r="A22" t="s">
        <v>49</v>
      </c>
      <c r="B22" s="3">
        <v>1</v>
      </c>
      <c r="C22" s="3">
        <v>1</v>
      </c>
      <c r="D22" s="3">
        <v>1</v>
      </c>
      <c r="E22" s="3">
        <v>1</v>
      </c>
      <c r="F22" s="16">
        <f>SUM(H22:K22)</f>
        <v>1</v>
      </c>
      <c r="H22" s="31"/>
      <c r="I22" s="26">
        <v>1</v>
      </c>
      <c r="J22" s="44"/>
      <c r="K22" s="26"/>
      <c r="L22" s="31"/>
      <c r="M22" s="26">
        <v>1</v>
      </c>
      <c r="N22" s="44"/>
      <c r="O22" s="26"/>
    </row>
    <row r="23" spans="1:15" x14ac:dyDescent="0.45">
      <c r="B23" s="4">
        <f>SUM(B21:B22)</f>
        <v>2</v>
      </c>
      <c r="C23" s="4">
        <f>SUM(C21:C22)</f>
        <v>2</v>
      </c>
      <c r="D23" s="4">
        <f>SUM(D21:D22)</f>
        <v>2</v>
      </c>
      <c r="E23" s="4">
        <f>SUM(E21:E22)</f>
        <v>2</v>
      </c>
      <c r="F23" s="17">
        <f t="shared" ref="F23" si="4">SUM(F21:F22)</f>
        <v>2</v>
      </c>
      <c r="H23" s="32">
        <f t="shared" ref="H23:K23" si="5">SUM(H21:H22)</f>
        <v>0</v>
      </c>
      <c r="I23" s="27">
        <f t="shared" si="5"/>
        <v>2</v>
      </c>
      <c r="J23" s="36">
        <f t="shared" si="5"/>
        <v>0</v>
      </c>
      <c r="K23" s="27">
        <f t="shared" si="5"/>
        <v>0</v>
      </c>
      <c r="L23" s="32">
        <f t="shared" ref="L23:O23" si="6">SUM(L21:L22)</f>
        <v>0</v>
      </c>
      <c r="M23" s="27">
        <f t="shared" si="6"/>
        <v>2</v>
      </c>
      <c r="N23" s="36">
        <f t="shared" si="6"/>
        <v>0</v>
      </c>
      <c r="O23" s="27">
        <f t="shared" si="6"/>
        <v>0</v>
      </c>
    </row>
    <row r="24" spans="1:15" x14ac:dyDescent="0.45">
      <c r="A24" s="6" t="s">
        <v>50</v>
      </c>
      <c r="F24" s="16"/>
      <c r="H24" s="31"/>
      <c r="I24" s="26"/>
      <c r="J24" s="44"/>
      <c r="K24" s="26"/>
      <c r="L24" s="31"/>
      <c r="M24" s="26"/>
      <c r="N24" s="44"/>
      <c r="O24" s="26"/>
    </row>
    <row r="25" spans="1:15" x14ac:dyDescent="0.45">
      <c r="A25" t="s">
        <v>49</v>
      </c>
      <c r="B25" s="3">
        <f>248.59-1</f>
        <v>247.59</v>
      </c>
      <c r="C25" s="3">
        <v>157</v>
      </c>
      <c r="D25" s="3">
        <v>212</v>
      </c>
      <c r="E25" s="3">
        <v>166</v>
      </c>
      <c r="F25" s="16">
        <f t="shared" ref="F25:F30" si="7">SUM(H25:K25)</f>
        <v>375</v>
      </c>
      <c r="H25" s="31"/>
      <c r="I25" s="26">
        <v>125</v>
      </c>
      <c r="J25" s="44">
        <v>125</v>
      </c>
      <c r="K25" s="26">
        <v>125</v>
      </c>
      <c r="L25" s="31">
        <v>125</v>
      </c>
      <c r="M25" s="26">
        <v>125</v>
      </c>
      <c r="N25" s="44">
        <v>125</v>
      </c>
      <c r="O25" s="26">
        <v>125</v>
      </c>
    </row>
    <row r="26" spans="1:15" x14ac:dyDescent="0.45">
      <c r="A26" t="s">
        <v>51</v>
      </c>
      <c r="C26" s="3">
        <v>0</v>
      </c>
      <c r="D26" s="3">
        <v>0</v>
      </c>
      <c r="E26" s="3">
        <v>0</v>
      </c>
      <c r="F26" s="16">
        <f t="shared" si="7"/>
        <v>0</v>
      </c>
      <c r="H26" s="31"/>
      <c r="I26" s="26"/>
      <c r="J26" s="44"/>
      <c r="K26" s="26"/>
      <c r="L26" s="31"/>
      <c r="M26" s="26"/>
      <c r="N26" s="44"/>
      <c r="O26" s="26"/>
    </row>
    <row r="27" spans="1:15" x14ac:dyDescent="0.45">
      <c r="A27" t="s">
        <v>52</v>
      </c>
      <c r="B27" s="3">
        <v>576</v>
      </c>
      <c r="C27" s="3">
        <v>579</v>
      </c>
      <c r="D27" s="3">
        <v>420</v>
      </c>
      <c r="E27" s="3">
        <v>0</v>
      </c>
      <c r="F27" s="16">
        <f t="shared" si="7"/>
        <v>965</v>
      </c>
      <c r="H27" s="31"/>
      <c r="I27" s="26">
        <v>125</v>
      </c>
      <c r="J27" s="44">
        <v>420</v>
      </c>
      <c r="K27" s="26">
        <v>420</v>
      </c>
      <c r="L27" s="31">
        <v>125</v>
      </c>
      <c r="M27" s="26">
        <v>125</v>
      </c>
      <c r="N27" s="44">
        <v>420</v>
      </c>
      <c r="O27" s="26">
        <v>420</v>
      </c>
    </row>
    <row r="28" spans="1:15" x14ac:dyDescent="0.45">
      <c r="A28" t="s">
        <v>53</v>
      </c>
      <c r="B28" s="3">
        <v>3608</v>
      </c>
      <c r="C28" s="3">
        <v>2184</v>
      </c>
      <c r="D28" s="3">
        <v>2996</v>
      </c>
      <c r="E28" s="3">
        <v>3070</v>
      </c>
      <c r="F28" s="16">
        <f t="shared" si="7"/>
        <v>1560.5</v>
      </c>
      <c r="H28" s="31">
        <v>780.5</v>
      </c>
      <c r="I28" s="26">
        <v>260</v>
      </c>
      <c r="J28" s="31">
        <v>260</v>
      </c>
      <c r="K28" s="26">
        <v>260</v>
      </c>
      <c r="L28" s="31">
        <v>260.17</v>
      </c>
      <c r="M28" s="26">
        <v>260</v>
      </c>
      <c r="N28" s="31">
        <v>260</v>
      </c>
      <c r="O28" s="26">
        <v>260</v>
      </c>
    </row>
    <row r="29" spans="1:15" x14ac:dyDescent="0.45">
      <c r="A29" t="s">
        <v>54</v>
      </c>
      <c r="B29" s="3">
        <v>144</v>
      </c>
      <c r="C29" s="3">
        <v>146</v>
      </c>
      <c r="D29" s="3">
        <v>150</v>
      </c>
      <c r="E29" s="3">
        <v>155</v>
      </c>
      <c r="F29" s="16">
        <f t="shared" si="7"/>
        <v>0</v>
      </c>
      <c r="H29" s="31"/>
      <c r="I29" s="26"/>
      <c r="J29" s="44"/>
      <c r="K29" s="26"/>
      <c r="L29" s="31">
        <v>75</v>
      </c>
      <c r="M29" s="26"/>
      <c r="N29" s="44"/>
      <c r="O29" s="26"/>
    </row>
    <row r="30" spans="1:15" x14ac:dyDescent="0.45">
      <c r="A30" t="s">
        <v>55</v>
      </c>
      <c r="C30" s="3">
        <v>10</v>
      </c>
      <c r="E30" s="3">
        <v>0</v>
      </c>
      <c r="F30" s="16">
        <f t="shared" si="7"/>
        <v>0</v>
      </c>
      <c r="H30" s="31"/>
      <c r="I30" s="26"/>
      <c r="J30" s="44"/>
      <c r="K30" s="26"/>
      <c r="L30" s="31"/>
      <c r="M30" s="26"/>
      <c r="N30" s="44"/>
      <c r="O30" s="26"/>
    </row>
    <row r="31" spans="1:15" x14ac:dyDescent="0.45">
      <c r="B31" s="4">
        <f>SUM(B25:B30)</f>
        <v>4575.59</v>
      </c>
      <c r="C31" s="4">
        <f>SUM(C25:C30)</f>
        <v>3076</v>
      </c>
      <c r="D31" s="4">
        <f>SUM(D25:D30)</f>
        <v>3778</v>
      </c>
      <c r="E31" s="4">
        <f>SUM(E25:E30)</f>
        <v>3391</v>
      </c>
      <c r="F31" s="17">
        <f t="shared" ref="F31" si="8">SUM(F25:F30)</f>
        <v>2900.5</v>
      </c>
      <c r="H31" s="32">
        <f t="shared" ref="H31:I31" si="9">SUM(H25:H30)</f>
        <v>780.5</v>
      </c>
      <c r="I31" s="27">
        <f t="shared" si="9"/>
        <v>510</v>
      </c>
      <c r="J31" s="36"/>
      <c r="K31" s="27"/>
      <c r="L31" s="32">
        <f t="shared" ref="L31:M31" si="10">SUM(L25:L30)</f>
        <v>585.17000000000007</v>
      </c>
      <c r="M31" s="27">
        <f t="shared" si="10"/>
        <v>510</v>
      </c>
      <c r="N31" s="36"/>
      <c r="O31" s="27"/>
    </row>
    <row r="32" spans="1:15" x14ac:dyDescent="0.45">
      <c r="A32" t="s">
        <v>18</v>
      </c>
      <c r="F32" s="16"/>
      <c r="H32" s="31"/>
      <c r="I32" s="26"/>
      <c r="J32" s="44"/>
      <c r="K32" s="26"/>
      <c r="L32" s="31"/>
      <c r="M32" s="26"/>
      <c r="N32" s="44"/>
      <c r="O32" s="26"/>
    </row>
    <row r="33" spans="1:15" x14ac:dyDescent="0.45">
      <c r="A33" t="s">
        <v>56</v>
      </c>
      <c r="B33" s="3">
        <v>211.15</v>
      </c>
      <c r="C33" s="3">
        <v>160</v>
      </c>
      <c r="D33" s="3">
        <v>160</v>
      </c>
      <c r="E33" s="3">
        <v>200</v>
      </c>
      <c r="F33" s="16">
        <f>SUM(H33:K33)</f>
        <v>0</v>
      </c>
      <c r="H33" s="31"/>
      <c r="I33" s="26"/>
      <c r="J33" s="44"/>
      <c r="K33" s="26"/>
      <c r="L33" s="31"/>
      <c r="M33" s="26"/>
      <c r="N33" s="44"/>
      <c r="O33" s="26"/>
    </row>
    <row r="34" spans="1:15" x14ac:dyDescent="0.45">
      <c r="A34" t="s">
        <v>57</v>
      </c>
      <c r="B34" s="3">
        <v>17.63</v>
      </c>
      <c r="C34" s="3">
        <v>20</v>
      </c>
      <c r="D34" s="3">
        <v>16</v>
      </c>
      <c r="E34" s="3">
        <v>26</v>
      </c>
      <c r="F34" s="16">
        <f>SUM(H34:K34)</f>
        <v>6</v>
      </c>
      <c r="H34" s="31">
        <v>3</v>
      </c>
      <c r="I34" s="26">
        <v>3</v>
      </c>
      <c r="J34" s="44"/>
      <c r="K34" s="26"/>
      <c r="L34" s="31">
        <v>3</v>
      </c>
      <c r="M34" s="26">
        <v>3</v>
      </c>
      <c r="N34" s="44"/>
      <c r="O34" s="26"/>
    </row>
    <row r="35" spans="1:15" x14ac:dyDescent="0.45">
      <c r="B35" s="4">
        <f>SUM(B33:B34)</f>
        <v>228.78</v>
      </c>
      <c r="C35" s="4">
        <f>SUM(C33:C34)</f>
        <v>180</v>
      </c>
      <c r="D35" s="4">
        <f>SUM(D33:D34)</f>
        <v>176</v>
      </c>
      <c r="E35" s="4">
        <f>SUM(E33:E34)</f>
        <v>226</v>
      </c>
      <c r="F35" s="17">
        <f t="shared" ref="F35" si="11">SUM(F33:F34)</f>
        <v>6</v>
      </c>
      <c r="H35" s="32">
        <f t="shared" ref="H35:I35" si="12">SUM(H33:H34)</f>
        <v>3</v>
      </c>
      <c r="I35" s="27">
        <f t="shared" si="12"/>
        <v>3</v>
      </c>
      <c r="J35" s="36"/>
      <c r="K35" s="27"/>
      <c r="L35" s="32">
        <f t="shared" ref="L35:M35" si="13">SUM(L33:L34)</f>
        <v>3</v>
      </c>
      <c r="M35" s="27">
        <f t="shared" si="13"/>
        <v>3</v>
      </c>
      <c r="N35" s="36"/>
      <c r="O35" s="27"/>
    </row>
    <row r="36" spans="1:15" x14ac:dyDescent="0.45">
      <c r="A36" t="s">
        <v>58</v>
      </c>
      <c r="F36" s="16"/>
      <c r="H36" s="31"/>
      <c r="I36" s="26"/>
      <c r="J36" s="44"/>
      <c r="K36" s="26"/>
      <c r="L36" s="31"/>
      <c r="M36" s="26"/>
      <c r="N36" s="44"/>
      <c r="O36" s="26"/>
    </row>
    <row r="37" spans="1:15" x14ac:dyDescent="0.45">
      <c r="A37" t="s">
        <v>59</v>
      </c>
      <c r="B37" s="3">
        <v>42.34</v>
      </c>
      <c r="C37" s="3">
        <v>42</v>
      </c>
      <c r="D37" s="3">
        <v>42</v>
      </c>
      <c r="E37" s="3">
        <v>42</v>
      </c>
      <c r="F37" s="16">
        <f>SUM(H37:K37)</f>
        <v>42</v>
      </c>
      <c r="H37" s="31">
        <v>42</v>
      </c>
      <c r="I37" s="26"/>
      <c r="J37" s="44"/>
      <c r="K37" s="26"/>
      <c r="L37" s="31">
        <v>42</v>
      </c>
      <c r="M37" s="26"/>
      <c r="N37" s="44"/>
      <c r="O37" s="26"/>
    </row>
    <row r="38" spans="1:15" x14ac:dyDescent="0.45">
      <c r="A38" t="s">
        <v>60</v>
      </c>
      <c r="C38" s="3">
        <v>3507</v>
      </c>
      <c r="D38" s="3">
        <v>0</v>
      </c>
      <c r="E38" s="3">
        <v>0</v>
      </c>
      <c r="F38" s="16">
        <f>SUM(H38:K38)</f>
        <v>0</v>
      </c>
      <c r="H38" s="31"/>
      <c r="I38" s="26"/>
      <c r="J38" s="44"/>
      <c r="K38" s="26"/>
      <c r="L38" s="31"/>
      <c r="M38" s="26"/>
      <c r="N38" s="44"/>
      <c r="O38" s="26"/>
    </row>
    <row r="39" spans="1:15" x14ac:dyDescent="0.45">
      <c r="A39" t="s">
        <v>61</v>
      </c>
      <c r="B39" s="3">
        <v>500</v>
      </c>
      <c r="C39" s="3">
        <v>500</v>
      </c>
      <c r="D39" s="3">
        <v>0</v>
      </c>
      <c r="E39" s="3">
        <v>0</v>
      </c>
      <c r="F39" s="16">
        <f>SUM(H39:K39)</f>
        <v>0</v>
      </c>
      <c r="H39" s="31"/>
      <c r="I39" s="26"/>
      <c r="J39" s="44"/>
      <c r="K39" s="26"/>
      <c r="L39" s="31"/>
      <c r="M39" s="26"/>
      <c r="N39" s="44"/>
      <c r="O39" s="26"/>
    </row>
    <row r="40" spans="1:15" x14ac:dyDescent="0.45">
      <c r="B40" s="4">
        <f>SUM(B37:B39)</f>
        <v>542.34</v>
      </c>
      <c r="C40" s="4">
        <f>SUM(C37:C39)</f>
        <v>4049</v>
      </c>
      <c r="D40" s="4">
        <f>SUM(D37:D39)</f>
        <v>42</v>
      </c>
      <c r="E40" s="4">
        <f>SUM(E37:E39)</f>
        <v>42</v>
      </c>
      <c r="F40" s="17">
        <f>SUM(F37:F39)</f>
        <v>42</v>
      </c>
      <c r="H40" s="32">
        <f>SUM(H37:H39)</f>
        <v>42</v>
      </c>
      <c r="I40" s="27">
        <f>SUM(I37:I39)</f>
        <v>0</v>
      </c>
      <c r="J40" s="32"/>
      <c r="K40" s="27">
        <f>SUM(K37:K39)</f>
        <v>0</v>
      </c>
      <c r="L40" s="32">
        <f>SUM(L37:L39)</f>
        <v>42</v>
      </c>
      <c r="M40" s="27">
        <f>SUM(M37:M39)</f>
        <v>0</v>
      </c>
      <c r="N40" s="32"/>
      <c r="O40" s="27">
        <f>SUM(O37:O39)</f>
        <v>0</v>
      </c>
    </row>
    <row r="41" spans="1:15" x14ac:dyDescent="0.45">
      <c r="A41" t="s">
        <v>62</v>
      </c>
      <c r="F41" s="16"/>
      <c r="H41" s="31"/>
      <c r="I41" s="26"/>
      <c r="J41" s="44"/>
      <c r="K41" s="26"/>
      <c r="L41" s="31"/>
      <c r="M41" s="26"/>
      <c r="N41" s="44"/>
      <c r="O41" s="26"/>
    </row>
    <row r="42" spans="1:15" x14ac:dyDescent="0.45">
      <c r="A42" t="s">
        <v>63</v>
      </c>
      <c r="B42" s="3">
        <v>5965</v>
      </c>
      <c r="C42" s="3">
        <v>0</v>
      </c>
      <c r="D42" s="3">
        <v>0</v>
      </c>
      <c r="E42" s="3">
        <v>0</v>
      </c>
      <c r="F42" s="16">
        <f t="shared" ref="F42:F47" si="14">SUM(H42:K42)</f>
        <v>0</v>
      </c>
      <c r="H42" s="31"/>
      <c r="I42" s="26"/>
      <c r="J42" s="44"/>
      <c r="K42" s="26"/>
      <c r="L42" s="31"/>
      <c r="M42" s="26"/>
      <c r="N42" s="44"/>
      <c r="O42" s="26"/>
    </row>
    <row r="43" spans="1:15" x14ac:dyDescent="0.45">
      <c r="A43" t="s">
        <v>64</v>
      </c>
      <c r="B43" s="3">
        <v>3000</v>
      </c>
      <c r="C43" s="3">
        <v>25500</v>
      </c>
      <c r="D43" s="3">
        <v>38170</v>
      </c>
      <c r="E43" s="3">
        <v>11365</v>
      </c>
      <c r="F43" s="16">
        <f t="shared" si="14"/>
        <v>8732</v>
      </c>
      <c r="H43" s="31"/>
      <c r="I43" s="26">
        <v>8732</v>
      </c>
      <c r="J43" s="44"/>
      <c r="K43" s="26"/>
      <c r="L43" s="31"/>
      <c r="M43" s="26">
        <v>8732</v>
      </c>
      <c r="N43" s="44"/>
      <c r="O43" s="26"/>
    </row>
    <row r="44" spans="1:15" x14ac:dyDescent="0.45">
      <c r="A44" t="s">
        <v>65</v>
      </c>
      <c r="C44" s="3">
        <v>0</v>
      </c>
      <c r="E44" s="3">
        <v>0</v>
      </c>
      <c r="F44" s="16">
        <f t="shared" si="14"/>
        <v>0</v>
      </c>
      <c r="H44" s="31"/>
      <c r="I44" s="26"/>
      <c r="J44" s="44"/>
      <c r="K44" s="26"/>
      <c r="L44" s="31"/>
      <c r="M44" s="26"/>
      <c r="N44" s="44"/>
      <c r="O44" s="26"/>
    </row>
    <row r="45" spans="1:15" x14ac:dyDescent="0.45">
      <c r="A45" t="s">
        <v>66</v>
      </c>
      <c r="D45" s="3">
        <v>3400</v>
      </c>
      <c r="E45" s="3">
        <v>0</v>
      </c>
      <c r="F45" s="16">
        <f t="shared" si="14"/>
        <v>0</v>
      </c>
      <c r="H45" s="31"/>
      <c r="I45" s="26"/>
      <c r="J45" s="44"/>
      <c r="K45" s="26"/>
      <c r="L45" s="31"/>
      <c r="M45" s="26"/>
      <c r="N45" s="44"/>
      <c r="O45" s="26"/>
    </row>
    <row r="46" spans="1:15" x14ac:dyDescent="0.45">
      <c r="A46" t="s">
        <v>67</v>
      </c>
      <c r="C46" s="3">
        <v>0</v>
      </c>
      <c r="D46" s="3">
        <v>0</v>
      </c>
      <c r="E46" s="3">
        <v>16317</v>
      </c>
      <c r="F46" s="16">
        <v>1000</v>
      </c>
      <c r="H46" s="31"/>
      <c r="I46" s="26"/>
      <c r="J46" s="44"/>
      <c r="K46" s="26"/>
      <c r="L46" s="31"/>
      <c r="M46" s="26"/>
      <c r="N46" s="44"/>
      <c r="O46" s="26"/>
    </row>
    <row r="47" spans="1:15" x14ac:dyDescent="0.45">
      <c r="A47" t="s">
        <v>68</v>
      </c>
      <c r="D47" s="3">
        <v>1000</v>
      </c>
      <c r="E47" s="3">
        <v>0</v>
      </c>
      <c r="F47" s="16">
        <f t="shared" si="14"/>
        <v>0</v>
      </c>
      <c r="H47" s="31"/>
      <c r="I47" s="26"/>
      <c r="J47" s="44"/>
      <c r="K47" s="26"/>
      <c r="L47" s="31"/>
      <c r="M47" s="26"/>
      <c r="N47" s="44"/>
      <c r="O47" s="26"/>
    </row>
    <row r="48" spans="1:15" ht="14.65" thickBot="1" x14ac:dyDescent="0.5">
      <c r="B48" s="4">
        <f>SUM(B42:B47)</f>
        <v>8965</v>
      </c>
      <c r="C48" s="4">
        <f>SUM(C42:C47)</f>
        <v>25500</v>
      </c>
      <c r="D48" s="4">
        <f>SUM(D42:D47)</f>
        <v>42570</v>
      </c>
      <c r="E48" s="4">
        <f>SUM(E42:E47)</f>
        <v>27682</v>
      </c>
      <c r="F48" s="17">
        <f>SUM(F42:F47)</f>
        <v>9732</v>
      </c>
      <c r="H48" s="35">
        <f t="shared" ref="H48:O48" si="15">SUM(H42:H47)</f>
        <v>0</v>
      </c>
      <c r="I48" s="28">
        <f t="shared" si="15"/>
        <v>8732</v>
      </c>
      <c r="J48" s="37">
        <f t="shared" si="15"/>
        <v>0</v>
      </c>
      <c r="K48" s="28">
        <f t="shared" si="15"/>
        <v>0</v>
      </c>
      <c r="L48" s="35">
        <f t="shared" si="15"/>
        <v>0</v>
      </c>
      <c r="M48" s="28">
        <f t="shared" si="15"/>
        <v>8732</v>
      </c>
      <c r="N48" s="37">
        <f t="shared" si="15"/>
        <v>0</v>
      </c>
      <c r="O48" s="28">
        <f t="shared" si="15"/>
        <v>0</v>
      </c>
    </row>
    <row r="49" spans="1:15" x14ac:dyDescent="0.45">
      <c r="A49" t="s">
        <v>20</v>
      </c>
      <c r="F49" s="16"/>
      <c r="H49" s="26"/>
      <c r="I49" s="26"/>
      <c r="J49" s="26"/>
      <c r="K49" s="26"/>
      <c r="L49" s="26"/>
      <c r="M49" s="26"/>
      <c r="N49" s="26"/>
      <c r="O49" s="26"/>
    </row>
    <row r="50" spans="1:15" ht="14.65" thickBot="1" x14ac:dyDescent="0.5">
      <c r="A50" t="s">
        <v>69</v>
      </c>
      <c r="B50" s="3">
        <v>2810.36</v>
      </c>
      <c r="C50" s="3">
        <v>6920</v>
      </c>
      <c r="D50" s="3">
        <v>17556</v>
      </c>
      <c r="E50" s="3">
        <v>12555</v>
      </c>
      <c r="F50" s="45">
        <v>6318</v>
      </c>
      <c r="H50" s="33">
        <v>2398.15</v>
      </c>
      <c r="I50" s="46">
        <v>3920</v>
      </c>
      <c r="J50" s="47"/>
      <c r="K50" s="46"/>
      <c r="L50" s="33">
        <v>2398.15</v>
      </c>
      <c r="M50" s="46">
        <v>3920</v>
      </c>
      <c r="N50" s="47"/>
      <c r="O50" s="46"/>
    </row>
  </sheetData>
  <mergeCells count="2">
    <mergeCell ref="H1:K1"/>
    <mergeCell ref="L1:O1"/>
  </mergeCells>
  <phoneticPr fontId="8" type="noConversion"/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3"/>
  <sheetViews>
    <sheetView tabSelected="1" workbookViewId="0">
      <pane xSplit="1" topLeftCell="G1" activePane="topRight" state="frozen"/>
      <selection pane="topRight" activeCell="O5" sqref="O5"/>
    </sheetView>
  </sheetViews>
  <sheetFormatPr defaultColWidth="8.86328125" defaultRowHeight="14.25" x14ac:dyDescent="0.45"/>
  <cols>
    <col min="1" max="1" width="65.73046875" bestFit="1" customWidth="1"/>
    <col min="2" max="2" width="4.3984375" style="13" bestFit="1" customWidth="1"/>
    <col min="3" max="3" width="7.86328125" style="3" bestFit="1" customWidth="1"/>
    <col min="4" max="4" width="7.86328125" style="9" bestFit="1" customWidth="1"/>
    <col min="5" max="5" width="7.86328125" style="9" customWidth="1"/>
    <col min="6" max="6" width="10.1328125" style="9" bestFit="1" customWidth="1"/>
    <col min="7" max="7" width="8.86328125" style="7"/>
    <col min="8" max="8" width="2.73046875" customWidth="1"/>
    <col min="9" max="9" width="7.265625" style="3" bestFit="1" customWidth="1"/>
    <col min="10" max="12" width="7.265625" style="3" customWidth="1"/>
    <col min="13" max="13" width="8.86328125" style="7"/>
    <col min="14" max="14" width="2.73046875" customWidth="1"/>
    <col min="15" max="15" width="7.265625" style="3" bestFit="1" customWidth="1"/>
    <col min="16" max="18" width="7.265625" style="3" customWidth="1"/>
  </cols>
  <sheetData>
    <row r="1" spans="1:18" s="1" customFormat="1" x14ac:dyDescent="0.45">
      <c r="B1" s="11" t="s">
        <v>70</v>
      </c>
      <c r="C1" s="29" t="s">
        <v>0</v>
      </c>
      <c r="D1" s="38" t="s">
        <v>1</v>
      </c>
      <c r="E1" s="38" t="s">
        <v>2</v>
      </c>
      <c r="F1" s="38" t="s">
        <v>3</v>
      </c>
      <c r="G1" s="34" t="s">
        <v>4</v>
      </c>
      <c r="I1" s="62" t="s">
        <v>153</v>
      </c>
      <c r="J1" s="63"/>
      <c r="K1" s="63"/>
      <c r="L1" s="64"/>
      <c r="M1" s="34" t="s">
        <v>156</v>
      </c>
      <c r="O1" s="62" t="s">
        <v>156</v>
      </c>
      <c r="P1" s="63"/>
      <c r="Q1" s="63"/>
      <c r="R1" s="64"/>
    </row>
    <row r="2" spans="1:18" s="1" customFormat="1" ht="14.65" thickBot="1" x14ac:dyDescent="0.5">
      <c r="B2" s="11"/>
      <c r="C2" s="2" t="s">
        <v>5</v>
      </c>
      <c r="D2" s="8" t="s">
        <v>5</v>
      </c>
      <c r="E2" s="8" t="s">
        <v>5</v>
      </c>
      <c r="F2" s="8" t="s">
        <v>6</v>
      </c>
      <c r="G2" s="15" t="s">
        <v>7</v>
      </c>
      <c r="I2" s="52" t="s">
        <v>7</v>
      </c>
      <c r="J2" s="51"/>
      <c r="K2" s="51"/>
      <c r="L2" s="53"/>
      <c r="M2" s="15" t="s">
        <v>7</v>
      </c>
      <c r="O2" s="52" t="s">
        <v>7</v>
      </c>
      <c r="P2" s="51"/>
      <c r="Q2" s="51"/>
      <c r="R2" s="53"/>
    </row>
    <row r="3" spans="1:18" x14ac:dyDescent="0.45">
      <c r="A3" s="6" t="s">
        <v>71</v>
      </c>
      <c r="B3" s="12"/>
      <c r="G3" s="16"/>
      <c r="I3" s="24" t="s">
        <v>9</v>
      </c>
      <c r="J3" s="25" t="s">
        <v>10</v>
      </c>
      <c r="K3" s="24" t="s">
        <v>11</v>
      </c>
      <c r="L3" s="60" t="s">
        <v>12</v>
      </c>
      <c r="M3" s="16"/>
      <c r="O3" s="24" t="s">
        <v>9</v>
      </c>
      <c r="P3" s="25" t="s">
        <v>10</v>
      </c>
      <c r="Q3" s="24" t="s">
        <v>11</v>
      </c>
      <c r="R3" s="60" t="s">
        <v>12</v>
      </c>
    </row>
    <row r="4" spans="1:18" x14ac:dyDescent="0.45">
      <c r="A4" s="6" t="s">
        <v>22</v>
      </c>
      <c r="B4" s="12"/>
      <c r="G4" s="16"/>
      <c r="I4" s="31"/>
      <c r="J4" s="26"/>
      <c r="K4" s="31"/>
      <c r="L4" s="26"/>
      <c r="M4" s="16"/>
      <c r="O4" s="31"/>
      <c r="P4" s="26"/>
      <c r="Q4" s="31"/>
      <c r="R4" s="26"/>
    </row>
    <row r="5" spans="1:18" x14ac:dyDescent="0.45">
      <c r="A5" t="s">
        <v>72</v>
      </c>
      <c r="B5" s="13" t="s">
        <v>73</v>
      </c>
      <c r="C5" s="3">
        <v>-8038.76</v>
      </c>
      <c r="D5" s="9">
        <v>-9727</v>
      </c>
      <c r="E5" s="9">
        <v>-9804</v>
      </c>
      <c r="F5" s="9">
        <v>-10860</v>
      </c>
      <c r="G5" s="16">
        <f>SUM(I5:L5)</f>
        <v>-11547.951200000001</v>
      </c>
      <c r="I5" s="31">
        <f>-3*(78*12.39*1.03)-I6</f>
        <v>-2886.9878000000003</v>
      </c>
      <c r="J5" s="26">
        <f>-3*(78*12.39*1.03)-J6</f>
        <v>-2886.9878000000003</v>
      </c>
      <c r="K5" s="31">
        <f>-3*(78*12.39*1.03)-K6</f>
        <v>-2886.9878000000003</v>
      </c>
      <c r="L5" s="26">
        <f>-3*(78*12.39*1.03)-L6</f>
        <v>-2886.9878000000003</v>
      </c>
      <c r="M5" s="16">
        <f>SUM(O5:R5)</f>
        <v>-11547.951200000001</v>
      </c>
      <c r="O5" s="31">
        <f>-3*(78*12.39*1.03)-O6</f>
        <v>-2886.9878000000003</v>
      </c>
      <c r="P5" s="26">
        <f>-3*(78*12.39*1.03)-P6</f>
        <v>-2886.9878000000003</v>
      </c>
      <c r="Q5" s="31">
        <f>-3*(78*12.39*1.03)-Q6</f>
        <v>-2886.9878000000003</v>
      </c>
      <c r="R5" s="26">
        <f>-3*(78*12.39*1.03)-R6</f>
        <v>-2886.9878000000003</v>
      </c>
    </row>
    <row r="6" spans="1:18" x14ac:dyDescent="0.45">
      <c r="A6" t="s">
        <v>74</v>
      </c>
      <c r="B6" s="13" t="s">
        <v>73</v>
      </c>
      <c r="C6" s="3">
        <v>-2140.54</v>
      </c>
      <c r="D6" s="9">
        <v>-1673</v>
      </c>
      <c r="E6" s="9">
        <v>-387</v>
      </c>
      <c r="F6" s="9">
        <v>-794</v>
      </c>
      <c r="G6" s="16">
        <f>SUM(I6:L6)</f>
        <v>-397</v>
      </c>
      <c r="I6" s="31">
        <v>-99.25</v>
      </c>
      <c r="J6" s="26">
        <v>-99.25</v>
      </c>
      <c r="K6" s="31">
        <v>-99.25</v>
      </c>
      <c r="L6" s="26">
        <v>-99.25</v>
      </c>
      <c r="M6" s="16">
        <f>SUM(O6:R6)</f>
        <v>-397</v>
      </c>
      <c r="O6" s="31">
        <v>-99.25</v>
      </c>
      <c r="P6" s="26">
        <v>-99.25</v>
      </c>
      <c r="Q6" s="31">
        <v>-99.25</v>
      </c>
      <c r="R6" s="26">
        <v>-99.25</v>
      </c>
    </row>
    <row r="7" spans="1:18" x14ac:dyDescent="0.45">
      <c r="C7" s="4">
        <f>SUM(C5:C6)</f>
        <v>-10179.299999999999</v>
      </c>
      <c r="D7" s="10">
        <f>SUM(D5:D6)</f>
        <v>-11400</v>
      </c>
      <c r="E7" s="10">
        <f>SUM(E5:E6)</f>
        <v>-10191</v>
      </c>
      <c r="F7" s="10">
        <f>SUM(F5:F6)</f>
        <v>-11654</v>
      </c>
      <c r="G7" s="17">
        <f>SUM(G5:G6)</f>
        <v>-11944.951200000001</v>
      </c>
      <c r="I7" s="36">
        <f t="shared" ref="I7:L7" si="0">SUM(I5:I6)</f>
        <v>-2986.2378000000003</v>
      </c>
      <c r="J7" s="48">
        <f t="shared" si="0"/>
        <v>-2986.2378000000003</v>
      </c>
      <c r="K7" s="36">
        <f t="shared" si="0"/>
        <v>-2986.2378000000003</v>
      </c>
      <c r="L7" s="48">
        <f t="shared" si="0"/>
        <v>-2986.2378000000003</v>
      </c>
      <c r="M7" s="17">
        <f>SUM(M5:M6)</f>
        <v>-11944.951200000001</v>
      </c>
      <c r="O7" s="36">
        <f t="shared" ref="O7:R7" si="1">SUM(O5:O6)</f>
        <v>-2986.2378000000003</v>
      </c>
      <c r="P7" s="48">
        <f t="shared" si="1"/>
        <v>-2986.2378000000003</v>
      </c>
      <c r="Q7" s="36">
        <f t="shared" si="1"/>
        <v>-2986.2378000000003</v>
      </c>
      <c r="R7" s="48">
        <f t="shared" si="1"/>
        <v>-2986.2378000000003</v>
      </c>
    </row>
    <row r="8" spans="1:18" x14ac:dyDescent="0.45">
      <c r="A8" s="6" t="s">
        <v>23</v>
      </c>
      <c r="B8" s="12"/>
      <c r="G8" s="16"/>
      <c r="I8" s="31"/>
      <c r="J8" s="26"/>
      <c r="K8" s="31"/>
      <c r="L8" s="26"/>
      <c r="M8" s="16"/>
      <c r="O8" s="31"/>
      <c r="P8" s="26"/>
      <c r="Q8" s="31"/>
      <c r="R8" s="26"/>
    </row>
    <row r="9" spans="1:18" x14ac:dyDescent="0.45">
      <c r="A9" t="s">
        <v>75</v>
      </c>
      <c r="B9" s="13" t="s">
        <v>76</v>
      </c>
      <c r="C9" s="3">
        <v>-4042.5</v>
      </c>
      <c r="D9" s="9">
        <v>-4030</v>
      </c>
      <c r="E9" s="9">
        <v>-4333</v>
      </c>
      <c r="F9" s="9">
        <v>-4433</v>
      </c>
      <c r="G9" s="16">
        <f t="shared" ref="G9:G18" si="2">SUM(I9:L9)</f>
        <v>-4600</v>
      </c>
      <c r="I9" s="31">
        <v>-2300</v>
      </c>
      <c r="J9" s="26"/>
      <c r="K9" s="31">
        <v>-2300</v>
      </c>
      <c r="L9" s="26"/>
      <c r="M9" s="16">
        <f t="shared" ref="M9:M18" si="3">SUM(O9:R9)</f>
        <v>-4600</v>
      </c>
      <c r="O9" s="31">
        <v>-2300</v>
      </c>
      <c r="P9" s="26"/>
      <c r="Q9" s="31">
        <v>-2300</v>
      </c>
      <c r="R9" s="26"/>
    </row>
    <row r="10" spans="1:18" x14ac:dyDescent="0.45">
      <c r="A10" t="s">
        <v>77</v>
      </c>
      <c r="B10" s="13" t="s">
        <v>78</v>
      </c>
      <c r="C10" s="3">
        <v>-68</v>
      </c>
      <c r="D10" s="9">
        <f>-81-150</f>
        <v>-231</v>
      </c>
      <c r="E10" s="9">
        <v>-81</v>
      </c>
      <c r="F10" s="9">
        <v>-81</v>
      </c>
      <c r="G10" s="16">
        <f t="shared" si="2"/>
        <v>-81</v>
      </c>
      <c r="I10" s="31">
        <f>F10*(1+M10)</f>
        <v>-81</v>
      </c>
      <c r="J10" s="26"/>
      <c r="K10" s="31"/>
      <c r="L10" s="26"/>
      <c r="M10" s="16">
        <f t="shared" si="3"/>
        <v>0</v>
      </c>
      <c r="O10" s="31">
        <f>L10*(1+S10)</f>
        <v>0</v>
      </c>
      <c r="P10" s="26"/>
      <c r="Q10" s="31"/>
      <c r="R10" s="26"/>
    </row>
    <row r="11" spans="1:18" x14ac:dyDescent="0.45">
      <c r="A11" t="s">
        <v>79</v>
      </c>
      <c r="B11" s="13" t="s">
        <v>78</v>
      </c>
      <c r="D11" s="9">
        <v>-99</v>
      </c>
      <c r="E11" s="9">
        <v>-40</v>
      </c>
      <c r="F11" s="9">
        <v>-185</v>
      </c>
      <c r="G11" s="16">
        <f t="shared" si="2"/>
        <v>-300</v>
      </c>
      <c r="I11" s="31">
        <v>-75</v>
      </c>
      <c r="J11" s="26">
        <v>-75</v>
      </c>
      <c r="K11" s="31">
        <v>-75</v>
      </c>
      <c r="L11" s="26">
        <v>-75</v>
      </c>
      <c r="M11" s="16">
        <f t="shared" si="3"/>
        <v>-300</v>
      </c>
      <c r="O11" s="31">
        <v>-75</v>
      </c>
      <c r="P11" s="26">
        <v>-75</v>
      </c>
      <c r="Q11" s="31">
        <v>-75</v>
      </c>
      <c r="R11" s="26">
        <v>-75</v>
      </c>
    </row>
    <row r="12" spans="1:18" x14ac:dyDescent="0.45">
      <c r="A12" s="6" t="s">
        <v>80</v>
      </c>
      <c r="B12" s="13" t="s">
        <v>78</v>
      </c>
      <c r="C12" s="3">
        <v>-276.44</v>
      </c>
      <c r="D12" s="9">
        <v>-18</v>
      </c>
      <c r="E12" s="9">
        <v>0</v>
      </c>
      <c r="F12" s="9">
        <v>-75</v>
      </c>
      <c r="G12" s="16">
        <f t="shared" si="2"/>
        <v>-150</v>
      </c>
      <c r="I12" s="31"/>
      <c r="J12" s="26">
        <v>-75</v>
      </c>
      <c r="K12" s="31"/>
      <c r="L12" s="26">
        <v>-75</v>
      </c>
      <c r="M12" s="16">
        <f t="shared" si="3"/>
        <v>-150</v>
      </c>
      <c r="O12" s="31"/>
      <c r="P12" s="26">
        <v>-75</v>
      </c>
      <c r="Q12" s="31"/>
      <c r="R12" s="26">
        <v>-75</v>
      </c>
    </row>
    <row r="13" spans="1:18" x14ac:dyDescent="0.45">
      <c r="A13" t="s">
        <v>81</v>
      </c>
      <c r="B13" s="13" t="s">
        <v>78</v>
      </c>
      <c r="C13" s="3">
        <v>0</v>
      </c>
      <c r="D13" s="9">
        <v>-621</v>
      </c>
      <c r="E13" s="9">
        <v>-606</v>
      </c>
      <c r="F13" s="9">
        <v>-629</v>
      </c>
      <c r="G13" s="16">
        <f t="shared" si="2"/>
        <v>-1087.8</v>
      </c>
      <c r="I13" s="31">
        <v>-120</v>
      </c>
      <c r="J13" s="26">
        <v>-75</v>
      </c>
      <c r="K13" s="31">
        <f>-120-49.4*12-180</f>
        <v>-892.8</v>
      </c>
      <c r="L13" s="26"/>
      <c r="M13" s="16">
        <f t="shared" si="3"/>
        <v>-1087.8</v>
      </c>
      <c r="O13" s="31">
        <v>-120</v>
      </c>
      <c r="P13" s="26">
        <v>-75</v>
      </c>
      <c r="Q13" s="31">
        <f>-120-49.4*12-180</f>
        <v>-892.8</v>
      </c>
      <c r="R13" s="26"/>
    </row>
    <row r="14" spans="1:18" x14ac:dyDescent="0.45">
      <c r="A14" t="s">
        <v>82</v>
      </c>
      <c r="B14" s="13" t="s">
        <v>76</v>
      </c>
      <c r="C14" s="3">
        <v>-184.13</v>
      </c>
      <c r="D14" s="9">
        <v>-165</v>
      </c>
      <c r="E14" s="9">
        <v>-156</v>
      </c>
      <c r="F14" s="9">
        <v>-70</v>
      </c>
      <c r="G14" s="16">
        <f t="shared" si="2"/>
        <v>-105</v>
      </c>
      <c r="I14" s="31">
        <v>0</v>
      </c>
      <c r="J14" s="26">
        <v>-35</v>
      </c>
      <c r="K14" s="31">
        <v>-35</v>
      </c>
      <c r="L14" s="26">
        <v>-35</v>
      </c>
      <c r="M14" s="16">
        <f t="shared" si="3"/>
        <v>-105</v>
      </c>
      <c r="O14" s="31">
        <v>0</v>
      </c>
      <c r="P14" s="26">
        <v>-35</v>
      </c>
      <c r="Q14" s="31">
        <v>-35</v>
      </c>
      <c r="R14" s="26">
        <v>-35</v>
      </c>
    </row>
    <row r="15" spans="1:18" x14ac:dyDescent="0.45">
      <c r="A15" t="s">
        <v>83</v>
      </c>
      <c r="B15" s="13" t="s">
        <v>78</v>
      </c>
      <c r="C15" s="3">
        <v>-66.02</v>
      </c>
      <c r="D15" s="9">
        <v>-322</v>
      </c>
      <c r="E15" s="9">
        <v>-230</v>
      </c>
      <c r="F15" s="9">
        <v>-396</v>
      </c>
      <c r="G15" s="16">
        <f t="shared" si="2"/>
        <v>-225</v>
      </c>
      <c r="I15" s="31">
        <v>0</v>
      </c>
      <c r="J15" s="26">
        <v>-75</v>
      </c>
      <c r="K15" s="31">
        <v>-75</v>
      </c>
      <c r="L15" s="26">
        <v>-75</v>
      </c>
      <c r="M15" s="16">
        <f t="shared" si="3"/>
        <v>-225</v>
      </c>
      <c r="O15" s="31">
        <v>0</v>
      </c>
      <c r="P15" s="26">
        <v>-75</v>
      </c>
      <c r="Q15" s="31">
        <v>-75</v>
      </c>
      <c r="R15" s="26">
        <v>-75</v>
      </c>
    </row>
    <row r="16" spans="1:18" x14ac:dyDescent="0.45">
      <c r="A16" t="s">
        <v>84</v>
      </c>
      <c r="B16" s="13" t="s">
        <v>85</v>
      </c>
      <c r="C16" s="3">
        <v>-125.8</v>
      </c>
      <c r="D16" s="9">
        <v>-7</v>
      </c>
      <c r="E16" s="9">
        <v>-10</v>
      </c>
      <c r="F16" s="9">
        <v>-20</v>
      </c>
      <c r="G16" s="16">
        <f t="shared" si="2"/>
        <v>-40</v>
      </c>
      <c r="I16" s="31">
        <v>-10</v>
      </c>
      <c r="J16" s="26">
        <v>-10</v>
      </c>
      <c r="K16" s="31">
        <v>-10</v>
      </c>
      <c r="L16" s="26">
        <v>-10</v>
      </c>
      <c r="M16" s="16">
        <f t="shared" si="3"/>
        <v>-40</v>
      </c>
      <c r="O16" s="31">
        <v>-10</v>
      </c>
      <c r="P16" s="26">
        <v>-10</v>
      </c>
      <c r="Q16" s="31">
        <v>-10</v>
      </c>
      <c r="R16" s="26">
        <v>-10</v>
      </c>
    </row>
    <row r="17" spans="1:18" x14ac:dyDescent="0.45">
      <c r="A17" t="s">
        <v>86</v>
      </c>
      <c r="B17" s="13" t="s">
        <v>78</v>
      </c>
      <c r="C17" s="3">
        <v>-272.66000000000003</v>
      </c>
      <c r="D17" s="9">
        <v>-246</v>
      </c>
      <c r="E17" s="9">
        <v>-602</v>
      </c>
      <c r="F17" s="9">
        <v>-495</v>
      </c>
      <c r="G17" s="16">
        <f t="shared" si="2"/>
        <v>-600</v>
      </c>
      <c r="I17" s="31">
        <v>-150</v>
      </c>
      <c r="J17" s="26">
        <v>-150</v>
      </c>
      <c r="K17" s="31">
        <v>-150</v>
      </c>
      <c r="L17" s="26">
        <v>-150</v>
      </c>
      <c r="M17" s="16">
        <f t="shared" si="3"/>
        <v>-600</v>
      </c>
      <c r="O17" s="31">
        <v>-150</v>
      </c>
      <c r="P17" s="26">
        <v>-150</v>
      </c>
      <c r="Q17" s="31">
        <v>-150</v>
      </c>
      <c r="R17" s="26">
        <v>-150</v>
      </c>
    </row>
    <row r="18" spans="1:18" x14ac:dyDescent="0.45">
      <c r="A18" s="6" t="s">
        <v>87</v>
      </c>
      <c r="B18" s="13" t="s">
        <v>76</v>
      </c>
      <c r="C18" s="3">
        <v>-678</v>
      </c>
      <c r="D18" s="9">
        <v>-671</v>
      </c>
      <c r="E18" s="9">
        <v>-714</v>
      </c>
      <c r="F18" s="9">
        <v>-779</v>
      </c>
      <c r="G18" s="16">
        <f t="shared" si="2"/>
        <v>-820</v>
      </c>
      <c r="I18" s="31">
        <v>-440</v>
      </c>
      <c r="J18" s="26">
        <v>-280</v>
      </c>
      <c r="K18" s="31"/>
      <c r="L18" s="26">
        <v>-100</v>
      </c>
      <c r="M18" s="16">
        <f t="shared" si="3"/>
        <v>-820</v>
      </c>
      <c r="O18" s="31">
        <v>-440</v>
      </c>
      <c r="P18" s="26">
        <v>-280</v>
      </c>
      <c r="Q18" s="31"/>
      <c r="R18" s="26">
        <v>-100</v>
      </c>
    </row>
    <row r="19" spans="1:18" x14ac:dyDescent="0.45">
      <c r="A19" t="s">
        <v>88</v>
      </c>
      <c r="B19" s="13" t="s">
        <v>78</v>
      </c>
      <c r="C19" s="3">
        <v>-696.31</v>
      </c>
      <c r="D19" s="9">
        <v>-748</v>
      </c>
      <c r="E19" s="9">
        <v>-431</v>
      </c>
      <c r="F19" s="9">
        <v>-553</v>
      </c>
      <c r="G19" s="16">
        <v>720</v>
      </c>
      <c r="I19" s="31">
        <v>-150</v>
      </c>
      <c r="J19" s="26">
        <v>-150</v>
      </c>
      <c r="K19" s="31">
        <v>-150</v>
      </c>
      <c r="L19" s="26">
        <v>-150</v>
      </c>
      <c r="M19" s="16">
        <v>720</v>
      </c>
      <c r="O19" s="31">
        <v>-150</v>
      </c>
      <c r="P19" s="26">
        <v>-150</v>
      </c>
      <c r="Q19" s="31">
        <v>-150</v>
      </c>
      <c r="R19" s="26">
        <v>-150</v>
      </c>
    </row>
    <row r="20" spans="1:18" x14ac:dyDescent="0.45">
      <c r="C20" s="4">
        <f>SUM(C9:C19)</f>
        <v>-6409.8600000000006</v>
      </c>
      <c r="D20" s="10">
        <f>SUM(D9:D19)</f>
        <v>-7158</v>
      </c>
      <c r="E20" s="10">
        <f>SUM(E9:E19)</f>
        <v>-7203</v>
      </c>
      <c r="F20" s="10">
        <f>SUM(F9:F19)</f>
        <v>-7716</v>
      </c>
      <c r="G20" s="17">
        <f>SUM(G9:G19)</f>
        <v>-7288.8</v>
      </c>
      <c r="I20" s="36">
        <f t="shared" ref="I20:L20" si="4">SUM(I9:I19)</f>
        <v>-3326</v>
      </c>
      <c r="J20" s="48">
        <f t="shared" si="4"/>
        <v>-925</v>
      </c>
      <c r="K20" s="36">
        <f t="shared" si="4"/>
        <v>-3687.8</v>
      </c>
      <c r="L20" s="48">
        <f t="shared" si="4"/>
        <v>-670</v>
      </c>
      <c r="M20" s="17">
        <f>SUM(M9:M19)</f>
        <v>-7207.8</v>
      </c>
      <c r="O20" s="36">
        <f t="shared" ref="O20:R20" si="5">SUM(O9:O19)</f>
        <v>-3245</v>
      </c>
      <c r="P20" s="48">
        <f t="shared" si="5"/>
        <v>-925</v>
      </c>
      <c r="Q20" s="36">
        <f t="shared" si="5"/>
        <v>-3687.8</v>
      </c>
      <c r="R20" s="48">
        <f t="shared" si="5"/>
        <v>-670</v>
      </c>
    </row>
    <row r="21" spans="1:18" x14ac:dyDescent="0.45">
      <c r="A21" s="6" t="s">
        <v>24</v>
      </c>
      <c r="B21" s="12"/>
      <c r="G21" s="16"/>
      <c r="I21" s="31"/>
      <c r="J21" s="26"/>
      <c r="K21" s="31"/>
      <c r="L21" s="26"/>
      <c r="M21" s="16"/>
      <c r="O21" s="31"/>
      <c r="P21" s="26"/>
      <c r="Q21" s="31"/>
      <c r="R21" s="26"/>
    </row>
    <row r="22" spans="1:18" x14ac:dyDescent="0.45">
      <c r="A22" t="s">
        <v>89</v>
      </c>
      <c r="B22" s="13" t="s">
        <v>78</v>
      </c>
      <c r="C22" s="3">
        <v>-540</v>
      </c>
      <c r="D22" s="9">
        <v>-550</v>
      </c>
      <c r="E22" s="9">
        <v>-700</v>
      </c>
      <c r="F22" s="9">
        <v>-873</v>
      </c>
      <c r="G22" s="16">
        <f>SUM(I22:L22)</f>
        <v>-730</v>
      </c>
      <c r="I22" s="31">
        <v>-165</v>
      </c>
      <c r="J22" s="26">
        <v>-400</v>
      </c>
      <c r="K22" s="31">
        <v>-165</v>
      </c>
      <c r="L22" s="26"/>
      <c r="M22" s="16">
        <f>SUM(O22:R22)</f>
        <v>-730</v>
      </c>
      <c r="O22" s="31">
        <v>-165</v>
      </c>
      <c r="P22" s="26">
        <v>-400</v>
      </c>
      <c r="Q22" s="31">
        <v>-165</v>
      </c>
      <c r="R22" s="26"/>
    </row>
    <row r="23" spans="1:18" x14ac:dyDescent="0.45">
      <c r="A23" t="s">
        <v>90</v>
      </c>
      <c r="B23" s="13" t="s">
        <v>85</v>
      </c>
      <c r="C23" s="3">
        <v>-2222.9899999999998</v>
      </c>
      <c r="D23" s="9">
        <v>-2309</v>
      </c>
      <c r="E23" s="9">
        <v>-1718</v>
      </c>
      <c r="F23" s="9">
        <v>-1572</v>
      </c>
      <c r="G23" s="16">
        <f>SUM(I23:L23)</f>
        <v>1800</v>
      </c>
      <c r="I23" s="31"/>
      <c r="J23" s="26">
        <v>1800</v>
      </c>
      <c r="K23" s="31"/>
      <c r="L23" s="26"/>
      <c r="M23" s="16">
        <f>SUM(O23:R23)</f>
        <v>1800</v>
      </c>
      <c r="O23" s="31"/>
      <c r="P23" s="26">
        <v>1800</v>
      </c>
      <c r="Q23" s="31"/>
      <c r="R23" s="26"/>
    </row>
    <row r="24" spans="1:18" x14ac:dyDescent="0.45">
      <c r="C24" s="4">
        <f>SUM(C22:C23)</f>
        <v>-2762.99</v>
      </c>
      <c r="D24" s="10">
        <f>SUM(D22:D23)</f>
        <v>-2859</v>
      </c>
      <c r="E24" s="10">
        <f>SUM(E22:E23)</f>
        <v>-2418</v>
      </c>
      <c r="F24" s="10">
        <f>SUM(F22:F23)</f>
        <v>-2445</v>
      </c>
      <c r="G24" s="17">
        <f>SUM(G22:G23)</f>
        <v>1070</v>
      </c>
      <c r="I24" s="36">
        <f>SUM(I22:I23)</f>
        <v>-165</v>
      </c>
      <c r="J24" s="48">
        <f t="shared" ref="J24:L24" si="6">SUM(J22:J23)</f>
        <v>1400</v>
      </c>
      <c r="K24" s="36">
        <f t="shared" si="6"/>
        <v>-165</v>
      </c>
      <c r="L24" s="48">
        <f t="shared" si="6"/>
        <v>0</v>
      </c>
      <c r="M24" s="17">
        <f>SUM(M22:M23)</f>
        <v>1070</v>
      </c>
      <c r="O24" s="36">
        <f>SUM(O22:O23)</f>
        <v>-165</v>
      </c>
      <c r="P24" s="48">
        <f t="shared" ref="P24:R24" si="7">SUM(P22:P23)</f>
        <v>1400</v>
      </c>
      <c r="Q24" s="36">
        <f t="shared" si="7"/>
        <v>-165</v>
      </c>
      <c r="R24" s="48">
        <f t="shared" si="7"/>
        <v>0</v>
      </c>
    </row>
    <row r="25" spans="1:18" x14ac:dyDescent="0.45">
      <c r="A25" s="6" t="s">
        <v>17</v>
      </c>
      <c r="B25" s="12"/>
      <c r="G25" s="16"/>
      <c r="I25" s="31"/>
      <c r="J25" s="26"/>
      <c r="K25" s="31"/>
      <c r="L25" s="26"/>
      <c r="M25" s="16"/>
      <c r="O25" s="31"/>
      <c r="P25" s="26"/>
      <c r="Q25" s="31"/>
      <c r="R25" s="26"/>
    </row>
    <row r="26" spans="1:18" x14ac:dyDescent="0.45">
      <c r="A26" t="s">
        <v>91</v>
      </c>
      <c r="B26" s="13" t="s">
        <v>85</v>
      </c>
      <c r="C26" s="3">
        <v>-1</v>
      </c>
      <c r="D26" s="9">
        <v>-1</v>
      </c>
      <c r="E26" s="9">
        <v>-1</v>
      </c>
      <c r="F26" s="9">
        <v>-1</v>
      </c>
      <c r="G26" s="16">
        <f>SUM(I26:L26)</f>
        <v>-1</v>
      </c>
      <c r="I26" s="31"/>
      <c r="J26" s="26">
        <v>-1</v>
      </c>
      <c r="K26" s="31"/>
      <c r="L26" s="26"/>
      <c r="M26" s="16">
        <f>SUM(O26:R26)</f>
        <v>-1</v>
      </c>
      <c r="O26" s="31"/>
      <c r="P26" s="26">
        <v>-1</v>
      </c>
      <c r="Q26" s="31"/>
      <c r="R26" s="26"/>
    </row>
    <row r="27" spans="1:18" x14ac:dyDescent="0.45">
      <c r="C27" s="4">
        <f>SUM(C26)</f>
        <v>-1</v>
      </c>
      <c r="D27" s="10">
        <f>SUM(D26)</f>
        <v>-1</v>
      </c>
      <c r="E27" s="10">
        <f>SUM(E26)</f>
        <v>-1</v>
      </c>
      <c r="F27" s="10">
        <f>SUM(F26)</f>
        <v>-1</v>
      </c>
      <c r="G27" s="17">
        <f>SUM(G26)</f>
        <v>-1</v>
      </c>
      <c r="I27" s="36">
        <f>SUM(I26)</f>
        <v>0</v>
      </c>
      <c r="J27" s="48">
        <f t="shared" ref="J27:L27" si="8">SUM(J26)</f>
        <v>-1</v>
      </c>
      <c r="K27" s="36">
        <f t="shared" si="8"/>
        <v>0</v>
      </c>
      <c r="L27" s="48">
        <f t="shared" si="8"/>
        <v>0</v>
      </c>
      <c r="M27" s="17">
        <f>SUM(M26)</f>
        <v>-1</v>
      </c>
      <c r="O27" s="36">
        <f>SUM(O26)</f>
        <v>0</v>
      </c>
      <c r="P27" s="48">
        <f t="shared" ref="P27:R27" si="9">SUM(P26)</f>
        <v>-1</v>
      </c>
      <c r="Q27" s="36">
        <f t="shared" si="9"/>
        <v>0</v>
      </c>
      <c r="R27" s="48">
        <f t="shared" si="9"/>
        <v>0</v>
      </c>
    </row>
    <row r="28" spans="1:18" x14ac:dyDescent="0.45">
      <c r="A28" s="6" t="s">
        <v>25</v>
      </c>
      <c r="B28" s="12"/>
      <c r="G28" s="16"/>
      <c r="I28" s="31"/>
      <c r="J28" s="26"/>
      <c r="K28" s="31"/>
      <c r="L28" s="26"/>
      <c r="M28" s="16"/>
      <c r="O28" s="31"/>
      <c r="P28" s="26"/>
      <c r="Q28" s="31"/>
      <c r="R28" s="26"/>
    </row>
    <row r="29" spans="1:18" x14ac:dyDescent="0.45">
      <c r="A29" t="s">
        <v>92</v>
      </c>
      <c r="B29" s="13" t="s">
        <v>78</v>
      </c>
      <c r="D29" s="9">
        <v>-90</v>
      </c>
      <c r="G29" s="16">
        <v>114</v>
      </c>
      <c r="I29" s="31"/>
      <c r="J29" s="26"/>
      <c r="K29" s="31">
        <v>-150</v>
      </c>
      <c r="L29" s="26"/>
      <c r="M29" s="16">
        <v>114</v>
      </c>
      <c r="O29" s="31"/>
      <c r="P29" s="26"/>
      <c r="Q29" s="31">
        <v>-150</v>
      </c>
      <c r="R29" s="26"/>
    </row>
    <row r="30" spans="1:18" x14ac:dyDescent="0.45">
      <c r="A30" s="61" t="s">
        <v>93</v>
      </c>
      <c r="C30" s="57"/>
      <c r="G30" s="16"/>
      <c r="H30" s="56"/>
      <c r="I30" s="58"/>
      <c r="J30" s="59"/>
      <c r="K30" s="58"/>
      <c r="L30" s="59"/>
      <c r="M30" s="16"/>
      <c r="N30" s="56"/>
      <c r="O30" s="58"/>
      <c r="P30" s="59"/>
      <c r="Q30" s="58"/>
      <c r="R30" s="59"/>
    </row>
    <row r="31" spans="1:18" x14ac:dyDescent="0.45">
      <c r="A31" s="56" t="s">
        <v>94</v>
      </c>
      <c r="B31" s="13" t="s">
        <v>78</v>
      </c>
      <c r="C31" s="57">
        <f>-1300.08-2840-704+520</f>
        <v>-4324.08</v>
      </c>
      <c r="D31" s="9">
        <f>-4520+520</f>
        <v>-4000</v>
      </c>
      <c r="E31" s="9">
        <f>-4760+520</f>
        <v>-4240</v>
      </c>
      <c r="F31" s="9">
        <v>-5374</v>
      </c>
      <c r="G31" s="16">
        <f t="shared" ref="G31:G38" si="10">SUM(I31:L31)</f>
        <v>-4990</v>
      </c>
      <c r="H31" s="56"/>
      <c r="I31" s="58">
        <v>-1247.5</v>
      </c>
      <c r="J31" s="59">
        <v>-1247.5</v>
      </c>
      <c r="K31" s="58">
        <v>-1247.5</v>
      </c>
      <c r="L31" s="59">
        <v>-1247.5</v>
      </c>
      <c r="M31" s="16">
        <f t="shared" ref="M31:M38" si="11">SUM(O31:R31)</f>
        <v>-4990</v>
      </c>
      <c r="N31" s="56"/>
      <c r="O31" s="58">
        <v>-1247.5</v>
      </c>
      <c r="P31" s="59">
        <v>-1247.5</v>
      </c>
      <c r="Q31" s="58">
        <v>-1247.5</v>
      </c>
      <c r="R31" s="59">
        <v>-1247.5</v>
      </c>
    </row>
    <row r="32" spans="1:18" x14ac:dyDescent="0.45">
      <c r="A32" s="56" t="s">
        <v>95</v>
      </c>
      <c r="B32" s="13" t="s">
        <v>78</v>
      </c>
      <c r="C32" s="57">
        <v>-880</v>
      </c>
      <c r="D32" s="9">
        <v>-880</v>
      </c>
      <c r="E32" s="9">
        <v>-660</v>
      </c>
      <c r="F32" s="9">
        <v>-1742</v>
      </c>
      <c r="G32" s="16">
        <f t="shared" si="10"/>
        <v>-1900</v>
      </c>
      <c r="H32" s="56"/>
      <c r="I32" s="58">
        <v>-475</v>
      </c>
      <c r="J32" s="59">
        <v>-475</v>
      </c>
      <c r="K32" s="58">
        <v>-475</v>
      </c>
      <c r="L32" s="59">
        <v>-475</v>
      </c>
      <c r="M32" s="16">
        <f t="shared" si="11"/>
        <v>-1900</v>
      </c>
      <c r="N32" s="56"/>
      <c r="O32" s="58">
        <v>-475</v>
      </c>
      <c r="P32" s="59">
        <v>-475</v>
      </c>
      <c r="Q32" s="58">
        <v>-475</v>
      </c>
      <c r="R32" s="59">
        <v>-475</v>
      </c>
    </row>
    <row r="33" spans="1:18" x14ac:dyDescent="0.45">
      <c r="A33" s="56" t="s">
        <v>96</v>
      </c>
      <c r="B33" s="13" t="s">
        <v>78</v>
      </c>
      <c r="C33" s="57">
        <f>-349.92-320</f>
        <v>-669.92000000000007</v>
      </c>
      <c r="D33" s="9">
        <v>-670</v>
      </c>
      <c r="E33" s="9">
        <v>-410</v>
      </c>
      <c r="F33" s="9">
        <v>-217</v>
      </c>
      <c r="G33" s="16">
        <f t="shared" si="10"/>
        <v>-205</v>
      </c>
      <c r="H33" s="56"/>
      <c r="I33" s="58">
        <v>-51.25</v>
      </c>
      <c r="J33" s="59">
        <v>-51.25</v>
      </c>
      <c r="K33" s="58">
        <v>-51.25</v>
      </c>
      <c r="L33" s="59">
        <v>-51.25</v>
      </c>
      <c r="M33" s="16">
        <f t="shared" si="11"/>
        <v>-205</v>
      </c>
      <c r="N33" s="56"/>
      <c r="O33" s="58">
        <v>-51.25</v>
      </c>
      <c r="P33" s="59">
        <v>-51.25</v>
      </c>
      <c r="Q33" s="58">
        <v>-51.25</v>
      </c>
      <c r="R33" s="59">
        <v>-51.25</v>
      </c>
    </row>
    <row r="34" spans="1:18" x14ac:dyDescent="0.45">
      <c r="A34" s="56" t="s">
        <v>97</v>
      </c>
      <c r="B34" s="13" t="s">
        <v>78</v>
      </c>
      <c r="C34" s="57"/>
      <c r="F34" s="9">
        <v>-334</v>
      </c>
      <c r="G34" s="16">
        <f t="shared" si="10"/>
        <v>-365</v>
      </c>
      <c r="H34" s="56"/>
      <c r="I34" s="58">
        <v>-91.25</v>
      </c>
      <c r="J34" s="59">
        <v>-91.25</v>
      </c>
      <c r="K34" s="58">
        <v>-91.25</v>
      </c>
      <c r="L34" s="59">
        <v>-91.25</v>
      </c>
      <c r="M34" s="16">
        <f t="shared" si="11"/>
        <v>-365</v>
      </c>
      <c r="N34" s="56"/>
      <c r="O34" s="58">
        <v>-91.25</v>
      </c>
      <c r="P34" s="59">
        <v>-91.25</v>
      </c>
      <c r="Q34" s="58">
        <v>-91.25</v>
      </c>
      <c r="R34" s="59">
        <v>-91.25</v>
      </c>
    </row>
    <row r="35" spans="1:18" x14ac:dyDescent="0.45">
      <c r="A35" s="56" t="s">
        <v>98</v>
      </c>
      <c r="B35" s="13" t="s">
        <v>78</v>
      </c>
      <c r="C35" s="57"/>
      <c r="F35" s="9">
        <v>-202</v>
      </c>
      <c r="G35" s="16">
        <f t="shared" si="10"/>
        <v>-220</v>
      </c>
      <c r="H35" s="56"/>
      <c r="I35" s="58">
        <v>-55</v>
      </c>
      <c r="J35" s="59">
        <v>-55</v>
      </c>
      <c r="K35" s="58">
        <v>-55</v>
      </c>
      <c r="L35" s="59">
        <v>-55</v>
      </c>
      <c r="M35" s="16">
        <f t="shared" si="11"/>
        <v>-220</v>
      </c>
      <c r="N35" s="56"/>
      <c r="O35" s="58">
        <v>-55</v>
      </c>
      <c r="P35" s="59">
        <v>-55</v>
      </c>
      <c r="Q35" s="58">
        <v>-55</v>
      </c>
      <c r="R35" s="59">
        <v>-55</v>
      </c>
    </row>
    <row r="36" spans="1:18" x14ac:dyDescent="0.45">
      <c r="A36" s="56" t="s">
        <v>99</v>
      </c>
      <c r="B36" s="13" t="s">
        <v>78</v>
      </c>
      <c r="C36" s="57"/>
      <c r="F36" s="9">
        <v>-513</v>
      </c>
      <c r="G36" s="16">
        <f t="shared" si="10"/>
        <v>-560</v>
      </c>
      <c r="H36" s="56"/>
      <c r="I36" s="58">
        <v>-140</v>
      </c>
      <c r="J36" s="59">
        <v>-140</v>
      </c>
      <c r="K36" s="58">
        <v>-140</v>
      </c>
      <c r="L36" s="59">
        <v>-140</v>
      </c>
      <c r="M36" s="16">
        <f t="shared" si="11"/>
        <v>-560</v>
      </c>
      <c r="N36" s="56"/>
      <c r="O36" s="58">
        <v>-140</v>
      </c>
      <c r="P36" s="59">
        <v>-140</v>
      </c>
      <c r="Q36" s="58">
        <v>-140</v>
      </c>
      <c r="R36" s="59">
        <v>-140</v>
      </c>
    </row>
    <row r="37" spans="1:18" x14ac:dyDescent="0.45">
      <c r="A37" s="56" t="s">
        <v>100</v>
      </c>
      <c r="B37" s="13" t="s">
        <v>78</v>
      </c>
      <c r="C37" s="57">
        <v>-170</v>
      </c>
      <c r="D37" s="9">
        <v>-190</v>
      </c>
      <c r="E37" s="9">
        <v>-560</v>
      </c>
      <c r="F37" s="9">
        <v>0</v>
      </c>
      <c r="G37" s="16">
        <f t="shared" si="10"/>
        <v>0</v>
      </c>
      <c r="H37" s="56"/>
      <c r="I37" s="58"/>
      <c r="J37" s="59"/>
      <c r="K37" s="58"/>
      <c r="L37" s="59"/>
      <c r="M37" s="16">
        <f t="shared" si="11"/>
        <v>0</v>
      </c>
      <c r="N37" s="56"/>
      <c r="O37" s="58"/>
      <c r="P37" s="59"/>
      <c r="Q37" s="58"/>
      <c r="R37" s="59"/>
    </row>
    <row r="38" spans="1:18" x14ac:dyDescent="0.45">
      <c r="A38" s="56" t="s">
        <v>101</v>
      </c>
      <c r="B38" s="13" t="s">
        <v>78</v>
      </c>
      <c r="C38" s="57">
        <f>-160-640</f>
        <v>-800</v>
      </c>
      <c r="D38" s="9">
        <v>-760</v>
      </c>
      <c r="E38" s="9">
        <v>-552</v>
      </c>
      <c r="F38" s="9">
        <v>-188</v>
      </c>
      <c r="G38" s="16">
        <f t="shared" si="10"/>
        <v>-187.5</v>
      </c>
      <c r="H38" s="56"/>
      <c r="I38" s="58">
        <f>-7.5*25</f>
        <v>-187.5</v>
      </c>
      <c r="J38" s="59"/>
      <c r="K38" s="58"/>
      <c r="L38" s="59"/>
      <c r="M38" s="16">
        <f t="shared" si="11"/>
        <v>-187.5</v>
      </c>
      <c r="N38" s="56"/>
      <c r="O38" s="58">
        <f>-7.5*25</f>
        <v>-187.5</v>
      </c>
      <c r="P38" s="59"/>
      <c r="Q38" s="58"/>
      <c r="R38" s="59"/>
    </row>
    <row r="39" spans="1:18" s="39" customFormat="1" x14ac:dyDescent="0.45">
      <c r="B39" s="40"/>
      <c r="C39" s="41">
        <f>SUM(C31:C38)</f>
        <v>-6844</v>
      </c>
      <c r="D39" s="41">
        <f>SUM(D31:D38)</f>
        <v>-6500</v>
      </c>
      <c r="E39" s="41">
        <f>SUM(E31:E38)</f>
        <v>-6422</v>
      </c>
      <c r="F39" s="41">
        <f>SUM(F31:F38)</f>
        <v>-8570</v>
      </c>
      <c r="G39" s="55">
        <f>SUM(G31:G38)</f>
        <v>-8427.5</v>
      </c>
      <c r="I39" s="42">
        <f>SUM(I31:I38)</f>
        <v>-2247.5</v>
      </c>
      <c r="J39" s="43">
        <f>SUM(J31:J38)</f>
        <v>-2060</v>
      </c>
      <c r="K39" s="42">
        <f>SUM(K31:K38)</f>
        <v>-2060</v>
      </c>
      <c r="L39" s="43">
        <f>SUM(L31:L38)</f>
        <v>-2060</v>
      </c>
      <c r="M39" s="55">
        <f>SUM(M31:M38)</f>
        <v>-8427.5</v>
      </c>
      <c r="O39" s="42">
        <f>SUM(O31:O38)</f>
        <v>-2247.5</v>
      </c>
      <c r="P39" s="43">
        <f>SUM(P31:P38)</f>
        <v>-2060</v>
      </c>
      <c r="Q39" s="42">
        <f>SUM(Q31:Q38)</f>
        <v>-2060</v>
      </c>
      <c r="R39" s="43">
        <f>SUM(R31:R38)</f>
        <v>-2060</v>
      </c>
    </row>
    <row r="40" spans="1:18" x14ac:dyDescent="0.45">
      <c r="A40" t="s">
        <v>102</v>
      </c>
      <c r="B40" s="13" t="s">
        <v>78</v>
      </c>
      <c r="C40" s="9">
        <v>-520</v>
      </c>
      <c r="D40" s="9">
        <v>-520</v>
      </c>
      <c r="E40" s="9">
        <v>-520</v>
      </c>
      <c r="F40" s="9">
        <v>-520</v>
      </c>
      <c r="G40" s="16">
        <f t="shared" ref="G40:G48" si="12">SUM(I40:L40)</f>
        <v>269880</v>
      </c>
      <c r="I40" s="31">
        <f>-130*(1+M40)</f>
        <v>67470</v>
      </c>
      <c r="J40" s="26">
        <f>-130*(1+M40)</f>
        <v>67470</v>
      </c>
      <c r="K40" s="31">
        <f>-130*(1+M40)</f>
        <v>67470</v>
      </c>
      <c r="L40" s="26">
        <f>-130*(1+M40)</f>
        <v>67470</v>
      </c>
      <c r="M40" s="16">
        <f t="shared" ref="M40:M42" si="13">SUM(O40:R40)</f>
        <v>-520</v>
      </c>
      <c r="O40" s="31">
        <f>-130*(1+S40)</f>
        <v>-130</v>
      </c>
      <c r="P40" s="26">
        <f>-130*(1+S40)</f>
        <v>-130</v>
      </c>
      <c r="Q40" s="31">
        <f>-130*(1+S40)</f>
        <v>-130</v>
      </c>
      <c r="R40" s="26">
        <f>-130*(1+S40)</f>
        <v>-130</v>
      </c>
    </row>
    <row r="41" spans="1:18" x14ac:dyDescent="0.45">
      <c r="A41" t="s">
        <v>103</v>
      </c>
      <c r="B41" s="13" t="s">
        <v>78</v>
      </c>
      <c r="C41" s="9"/>
      <c r="F41" s="9">
        <v>-197</v>
      </c>
      <c r="G41" s="16">
        <f t="shared" si="12"/>
        <v>-784</v>
      </c>
      <c r="I41" s="31">
        <v>-196</v>
      </c>
      <c r="J41" s="31">
        <v>-196</v>
      </c>
      <c r="K41" s="31">
        <v>-196</v>
      </c>
      <c r="L41" s="31">
        <v>-196</v>
      </c>
      <c r="M41" s="16">
        <f t="shared" si="13"/>
        <v>-784</v>
      </c>
      <c r="O41" s="31">
        <v>-196</v>
      </c>
      <c r="P41" s="31">
        <v>-196</v>
      </c>
      <c r="Q41" s="31">
        <v>-196</v>
      </c>
      <c r="R41" s="31">
        <v>-196</v>
      </c>
    </row>
    <row r="42" spans="1:18" x14ac:dyDescent="0.45">
      <c r="A42" t="s">
        <v>104</v>
      </c>
      <c r="B42" s="13" t="s">
        <v>78</v>
      </c>
      <c r="E42" s="9">
        <v>-261</v>
      </c>
      <c r="F42" s="9">
        <v>-450</v>
      </c>
      <c r="G42" s="16">
        <f t="shared" si="12"/>
        <v>-300</v>
      </c>
      <c r="I42" s="31">
        <v>-75</v>
      </c>
      <c r="J42" s="26">
        <v>-75</v>
      </c>
      <c r="K42" s="31">
        <v>-75</v>
      </c>
      <c r="L42" s="26">
        <v>-75</v>
      </c>
      <c r="M42" s="16">
        <f t="shared" si="13"/>
        <v>-300</v>
      </c>
      <c r="O42" s="31">
        <v>-75</v>
      </c>
      <c r="P42" s="26">
        <v>-75</v>
      </c>
      <c r="Q42" s="31">
        <v>-75</v>
      </c>
      <c r="R42" s="26">
        <v>-75</v>
      </c>
    </row>
    <row r="43" spans="1:18" x14ac:dyDescent="0.45">
      <c r="A43" t="s">
        <v>105</v>
      </c>
      <c r="B43" s="13" t="s">
        <v>78</v>
      </c>
      <c r="C43" s="3">
        <v>-397.32</v>
      </c>
      <c r="D43" s="9">
        <v>0</v>
      </c>
      <c r="E43" s="9">
        <v>-1191</v>
      </c>
      <c r="F43" s="9">
        <v>-984</v>
      </c>
      <c r="G43" s="16">
        <v>-2400</v>
      </c>
      <c r="I43" s="31">
        <v>-750</v>
      </c>
      <c r="J43" s="26"/>
      <c r="K43" s="31">
        <v>-750</v>
      </c>
      <c r="L43" s="26"/>
      <c r="M43" s="16">
        <v>-2400</v>
      </c>
      <c r="O43" s="31">
        <v>-750</v>
      </c>
      <c r="P43" s="26"/>
      <c r="Q43" s="31">
        <v>-750</v>
      </c>
      <c r="R43" s="26"/>
    </row>
    <row r="44" spans="1:18" x14ac:dyDescent="0.45">
      <c r="A44" t="s">
        <v>106</v>
      </c>
      <c r="B44" s="13" t="s">
        <v>85</v>
      </c>
      <c r="C44" s="3">
        <v>-497.12</v>
      </c>
      <c r="D44" s="9">
        <v>-313</v>
      </c>
      <c r="E44" s="9">
        <v>-424</v>
      </c>
      <c r="F44" s="9">
        <v>-332</v>
      </c>
      <c r="G44" s="16">
        <f t="shared" si="12"/>
        <v>-500</v>
      </c>
      <c r="I44" s="31"/>
      <c r="J44" s="26">
        <v>-250</v>
      </c>
      <c r="K44" s="31"/>
      <c r="L44" s="26">
        <v>-250</v>
      </c>
      <c r="M44" s="16">
        <f t="shared" ref="M44:M48" si="14">SUM(O44:R44)</f>
        <v>-500</v>
      </c>
      <c r="O44" s="31"/>
      <c r="P44" s="26">
        <v>-250</v>
      </c>
      <c r="Q44" s="31"/>
      <c r="R44" s="26">
        <v>-250</v>
      </c>
    </row>
    <row r="45" spans="1:18" x14ac:dyDescent="0.45">
      <c r="A45" t="s">
        <v>107</v>
      </c>
      <c r="B45" s="13" t="s">
        <v>108</v>
      </c>
      <c r="C45" s="3">
        <v>-361.92</v>
      </c>
      <c r="D45" s="9">
        <v>-420</v>
      </c>
      <c r="E45" s="9">
        <v>-535</v>
      </c>
      <c r="F45" s="9">
        <v>-461</v>
      </c>
      <c r="G45" s="16">
        <f t="shared" si="12"/>
        <v>-480</v>
      </c>
      <c r="I45" s="31">
        <v>-120</v>
      </c>
      <c r="J45" s="26">
        <v>-120</v>
      </c>
      <c r="K45" s="31">
        <v>-120</v>
      </c>
      <c r="L45" s="26">
        <v>-120</v>
      </c>
      <c r="M45" s="16">
        <f t="shared" si="14"/>
        <v>-480</v>
      </c>
      <c r="O45" s="31">
        <v>-120</v>
      </c>
      <c r="P45" s="26">
        <v>-120</v>
      </c>
      <c r="Q45" s="31">
        <v>-120</v>
      </c>
      <c r="R45" s="26">
        <v>-120</v>
      </c>
    </row>
    <row r="46" spans="1:18" x14ac:dyDescent="0.45">
      <c r="A46" t="s">
        <v>109</v>
      </c>
      <c r="B46" s="13" t="s">
        <v>108</v>
      </c>
      <c r="C46" s="3">
        <v>-143.07</v>
      </c>
      <c r="D46" s="9">
        <v>-143</v>
      </c>
      <c r="E46" s="9">
        <v>-133</v>
      </c>
      <c r="F46" s="9">
        <v>-533</v>
      </c>
      <c r="G46" s="16">
        <f t="shared" si="12"/>
        <v>-500</v>
      </c>
      <c r="I46" s="31">
        <v>-500</v>
      </c>
      <c r="J46" s="26"/>
      <c r="K46" s="31"/>
      <c r="L46" s="26"/>
      <c r="M46" s="16">
        <f t="shared" si="14"/>
        <v>-500</v>
      </c>
      <c r="O46" s="31">
        <v>-500</v>
      </c>
      <c r="P46" s="26"/>
      <c r="Q46" s="31"/>
      <c r="R46" s="26"/>
    </row>
    <row r="47" spans="1:18" x14ac:dyDescent="0.45">
      <c r="A47" t="s">
        <v>110</v>
      </c>
      <c r="B47" s="13" t="s">
        <v>78</v>
      </c>
      <c r="C47" s="3">
        <v>-1450</v>
      </c>
      <c r="D47" s="9">
        <v>-400</v>
      </c>
      <c r="E47" s="9">
        <v>-765</v>
      </c>
      <c r="F47" s="9">
        <v>-720</v>
      </c>
      <c r="G47" s="16">
        <f t="shared" si="12"/>
        <v>-3000</v>
      </c>
      <c r="I47" s="31">
        <v>-750</v>
      </c>
      <c r="J47" s="26">
        <v>-750</v>
      </c>
      <c r="K47" s="31">
        <v>-750</v>
      </c>
      <c r="L47" s="26">
        <v>-750</v>
      </c>
      <c r="M47" s="16">
        <f t="shared" si="14"/>
        <v>-3000</v>
      </c>
      <c r="O47" s="31">
        <v>-750</v>
      </c>
      <c r="P47" s="26">
        <v>-750</v>
      </c>
      <c r="Q47" s="31">
        <v>-750</v>
      </c>
      <c r="R47" s="26">
        <v>-750</v>
      </c>
    </row>
    <row r="48" spans="1:18" x14ac:dyDescent="0.45">
      <c r="A48" t="s">
        <v>111</v>
      </c>
      <c r="B48" s="13" t="s">
        <v>78</v>
      </c>
      <c r="C48" s="3">
        <v>-3285.78</v>
      </c>
      <c r="D48" s="9">
        <v>-3612</v>
      </c>
      <c r="E48" s="9">
        <v>-3177</v>
      </c>
      <c r="F48" s="9">
        <v>-4050</v>
      </c>
      <c r="G48" s="16">
        <f t="shared" si="12"/>
        <v>-3863</v>
      </c>
      <c r="I48" s="31"/>
      <c r="J48" s="26">
        <f>-(Receipts!$F11-1700)/2</f>
        <v>-1931.5</v>
      </c>
      <c r="K48" s="31"/>
      <c r="L48" s="26">
        <f>-(Receipts!$F11-1700)/2</f>
        <v>-1931.5</v>
      </c>
      <c r="M48" s="16">
        <f t="shared" si="14"/>
        <v>-3863</v>
      </c>
      <c r="O48" s="31"/>
      <c r="P48" s="26">
        <f>-(Receipts!$F11-1700)/2</f>
        <v>-1931.5</v>
      </c>
      <c r="Q48" s="31"/>
      <c r="R48" s="26">
        <f>-(Receipts!$F11-1700)/2</f>
        <v>-1931.5</v>
      </c>
    </row>
    <row r="49" spans="1:18" x14ac:dyDescent="0.45">
      <c r="C49" s="4">
        <f>C29+SUM(C39:C48)</f>
        <v>-13499.210000000001</v>
      </c>
      <c r="D49" s="4">
        <f>D29+SUM(D39:D48)</f>
        <v>-11998</v>
      </c>
      <c r="E49" s="4">
        <f>E29+SUM(E39:E48)</f>
        <v>-13428</v>
      </c>
      <c r="F49" s="4">
        <f>F29+SUM(F39:F48)</f>
        <v>-16817</v>
      </c>
      <c r="G49" s="17">
        <f>G29+SUM(G39:G48)</f>
        <v>249739.5</v>
      </c>
      <c r="I49" s="36">
        <f>I29+SUM(I39:I48)</f>
        <v>62831.5</v>
      </c>
      <c r="J49" s="48">
        <f>J29+SUM(J39:J48)</f>
        <v>62087.5</v>
      </c>
      <c r="K49" s="36">
        <f>K29+SUM(K39:K48)</f>
        <v>63369</v>
      </c>
      <c r="L49" s="48">
        <f>L29+SUM(L39:L48)</f>
        <v>62087.5</v>
      </c>
      <c r="M49" s="17">
        <f>M29+SUM(M39:M48)</f>
        <v>-20660.5</v>
      </c>
      <c r="O49" s="36">
        <f>O29+SUM(O39:O48)</f>
        <v>-4768.5</v>
      </c>
      <c r="P49" s="48">
        <f>P29+SUM(P39:P48)</f>
        <v>-5512.5</v>
      </c>
      <c r="Q49" s="36">
        <f>Q29+SUM(Q39:Q48)</f>
        <v>-4231</v>
      </c>
      <c r="R49" s="48">
        <f>R29+SUM(R39:R48)</f>
        <v>-5512.5</v>
      </c>
    </row>
    <row r="50" spans="1:18" x14ac:dyDescent="0.45">
      <c r="A50" s="6" t="s">
        <v>112</v>
      </c>
      <c r="B50" s="12"/>
      <c r="G50" s="16"/>
      <c r="I50" s="31"/>
      <c r="J50" s="26"/>
      <c r="K50" s="31"/>
      <c r="L50" s="26"/>
      <c r="M50" s="16"/>
      <c r="O50" s="31"/>
      <c r="P50" s="26"/>
      <c r="Q50" s="31"/>
      <c r="R50" s="26"/>
    </row>
    <row r="51" spans="1:18" x14ac:dyDescent="0.45">
      <c r="A51" t="s">
        <v>113</v>
      </c>
      <c r="B51" s="13" t="s">
        <v>76</v>
      </c>
      <c r="C51" s="3">
        <v>-630</v>
      </c>
      <c r="D51" s="9">
        <v>-630</v>
      </c>
      <c r="E51" s="9">
        <v>-630</v>
      </c>
      <c r="F51" s="9">
        <v>-630</v>
      </c>
      <c r="G51" s="16">
        <f>SUM(I51:L51)</f>
        <v>-630</v>
      </c>
      <c r="I51" s="31">
        <v>-630</v>
      </c>
      <c r="J51" s="26"/>
      <c r="K51" s="31"/>
      <c r="L51" s="26"/>
      <c r="M51" s="16">
        <f>SUM(O51:R51)</f>
        <v>-630</v>
      </c>
      <c r="O51" s="31">
        <v>-630</v>
      </c>
      <c r="P51" s="26"/>
      <c r="Q51" s="31"/>
      <c r="R51" s="26"/>
    </row>
    <row r="52" spans="1:18" x14ac:dyDescent="0.45">
      <c r="A52" t="s">
        <v>61</v>
      </c>
      <c r="B52" s="13" t="s">
        <v>76</v>
      </c>
      <c r="C52" s="3">
        <v>-600</v>
      </c>
      <c r="D52" s="9">
        <v>-500</v>
      </c>
      <c r="E52" s="9">
        <v>-100</v>
      </c>
      <c r="F52" s="9">
        <v>0</v>
      </c>
      <c r="G52" s="16">
        <f>SUM(I52:L52)</f>
        <v>0</v>
      </c>
      <c r="I52" s="31"/>
      <c r="J52" s="26"/>
      <c r="K52" s="31"/>
      <c r="L52" s="26"/>
      <c r="M52" s="16">
        <f>SUM(O52:R52)</f>
        <v>0</v>
      </c>
      <c r="O52" s="31"/>
      <c r="P52" s="26"/>
      <c r="Q52" s="31"/>
      <c r="R52" s="26"/>
    </row>
    <row r="53" spans="1:18" x14ac:dyDescent="0.45">
      <c r="A53" t="s">
        <v>114</v>
      </c>
      <c r="B53" s="13" t="s">
        <v>78</v>
      </c>
      <c r="D53" s="9">
        <v>0</v>
      </c>
      <c r="F53" s="9">
        <v>-82</v>
      </c>
      <c r="G53" s="16">
        <f>SUM(I53:L53)</f>
        <v>12682.86</v>
      </c>
      <c r="I53" s="31">
        <f>(I20+I23+I29+SUM(I40:I47))*0.05</f>
        <v>3087.65</v>
      </c>
      <c r="J53" s="26">
        <f>(J20+J22+J29+SUM(J40:J47))*0.05</f>
        <v>3237.7000000000003</v>
      </c>
      <c r="K53" s="31">
        <f>(K20+K23+K29+SUM(K40:K47))*0.05</f>
        <v>3087.06</v>
      </c>
      <c r="L53" s="26">
        <f>(L20+L22+L29+SUM(L40:L47))*0.05</f>
        <v>3270.4500000000003</v>
      </c>
      <c r="M53" s="16">
        <f>SUM(O53:R53)</f>
        <v>-833.08999999999992</v>
      </c>
      <c r="O53" s="31">
        <f>(O20+O23+O29+SUM(O40:O47))*0.05</f>
        <v>-288.3</v>
      </c>
      <c r="P53" s="26">
        <f>(P20+P22+P29+SUM(P40:P47))*0.05</f>
        <v>-142.30000000000001</v>
      </c>
      <c r="Q53" s="31">
        <f>(Q20+Q23+Q29+SUM(Q40:Q47))*0.05</f>
        <v>-292.94</v>
      </c>
      <c r="R53" s="26">
        <f>(R20+R22+R29+SUM(R40:R47))*0.05</f>
        <v>-109.55000000000001</v>
      </c>
    </row>
    <row r="54" spans="1:18" x14ac:dyDescent="0.45">
      <c r="C54" s="4">
        <f>SUM(C51:C53)</f>
        <v>-1230</v>
      </c>
      <c r="D54" s="10">
        <f>SUM(D51:D53)</f>
        <v>-1130</v>
      </c>
      <c r="E54" s="10">
        <f>SUM(E51:E53)</f>
        <v>-730</v>
      </c>
      <c r="F54" s="10">
        <f>SUM(F51:F53)</f>
        <v>-712</v>
      </c>
      <c r="G54" s="17">
        <f>SUM(G51:G53)</f>
        <v>12052.86</v>
      </c>
      <c r="I54" s="36">
        <f>SUM(I51:I53)</f>
        <v>2457.65</v>
      </c>
      <c r="J54" s="48">
        <f>SUM(J51:J53)</f>
        <v>3237.7000000000003</v>
      </c>
      <c r="K54" s="36">
        <f>SUM(K51:K53)</f>
        <v>3087.06</v>
      </c>
      <c r="L54" s="48">
        <f>SUM(L51:L53)</f>
        <v>3270.4500000000003</v>
      </c>
      <c r="M54" s="17">
        <f>SUM(M51:M53)</f>
        <v>-1463.09</v>
      </c>
      <c r="O54" s="36">
        <f>SUM(O51:O53)</f>
        <v>-918.3</v>
      </c>
      <c r="P54" s="48">
        <f>SUM(P51:P53)</f>
        <v>-142.30000000000001</v>
      </c>
      <c r="Q54" s="36">
        <f>SUM(Q51:Q53)</f>
        <v>-292.94</v>
      </c>
      <c r="R54" s="48">
        <f>SUM(R51:R53)</f>
        <v>-109.55000000000001</v>
      </c>
    </row>
    <row r="55" spans="1:18" x14ac:dyDescent="0.45">
      <c r="A55" s="6" t="s">
        <v>26</v>
      </c>
      <c r="B55" s="12"/>
      <c r="G55" s="16"/>
      <c r="I55" s="31"/>
      <c r="J55" s="26"/>
      <c r="K55" s="31"/>
      <c r="L55" s="26"/>
      <c r="M55" s="16"/>
      <c r="O55" s="31"/>
      <c r="P55" s="26"/>
      <c r="Q55" s="31"/>
      <c r="R55" s="26"/>
    </row>
    <row r="56" spans="1:18" x14ac:dyDescent="0.45">
      <c r="A56" t="s">
        <v>115</v>
      </c>
      <c r="B56" s="13" t="s">
        <v>76</v>
      </c>
      <c r="C56" s="3">
        <v>-1380.6</v>
      </c>
      <c r="D56" s="9">
        <v>-1022</v>
      </c>
      <c r="E56" s="9">
        <v>-1514</v>
      </c>
      <c r="F56" s="9">
        <v>-1281</v>
      </c>
      <c r="G56" s="16" t="e">
        <f>SUM(I56:L56)</f>
        <v>#REF!</v>
      </c>
      <c r="I56" s="31" t="e">
        <f>-Receipts!$F12/4</f>
        <v>#REF!</v>
      </c>
      <c r="J56" s="31" t="e">
        <f>-Receipts!$F12/4</f>
        <v>#REF!</v>
      </c>
      <c r="K56" s="31" t="e">
        <f>-Receipts!$F12/4</f>
        <v>#REF!</v>
      </c>
      <c r="L56" s="31" t="e">
        <f>-Receipts!$F12/4</f>
        <v>#REF!</v>
      </c>
      <c r="M56" s="16" t="e">
        <f>SUM(O56:R56)</f>
        <v>#REF!</v>
      </c>
      <c r="O56" s="31" t="e">
        <f>-Receipts!$F12/4</f>
        <v>#REF!</v>
      </c>
      <c r="P56" s="31" t="e">
        <f>-Receipts!$F12/4</f>
        <v>#REF!</v>
      </c>
      <c r="Q56" s="31" t="e">
        <f>-Receipts!$F12/4</f>
        <v>#REF!</v>
      </c>
      <c r="R56" s="31" t="e">
        <f>-Receipts!$F12/4</f>
        <v>#REF!</v>
      </c>
    </row>
    <row r="57" spans="1:18" x14ac:dyDescent="0.45">
      <c r="A57" t="s">
        <v>116</v>
      </c>
      <c r="B57" s="13" t="s">
        <v>78</v>
      </c>
      <c r="C57" s="3">
        <f>-2880-190</f>
        <v>-3070</v>
      </c>
      <c r="D57" s="9">
        <v>-1330</v>
      </c>
      <c r="E57" s="9">
        <v>-2665</v>
      </c>
      <c r="F57" s="9">
        <v>-2390</v>
      </c>
      <c r="G57" s="16">
        <f>SUM(I57:L57)</f>
        <v>-2400</v>
      </c>
      <c r="I57" s="31">
        <v>-600</v>
      </c>
      <c r="J57" s="26">
        <v>-600</v>
      </c>
      <c r="K57" s="31">
        <v>-600</v>
      </c>
      <c r="L57" s="26">
        <v>-600</v>
      </c>
      <c r="M57" s="16">
        <f>SUM(O57:R57)</f>
        <v>-2400</v>
      </c>
      <c r="O57" s="31">
        <v>-600</v>
      </c>
      <c r="P57" s="26">
        <v>-600</v>
      </c>
      <c r="Q57" s="31">
        <v>-600</v>
      </c>
      <c r="R57" s="26">
        <v>-600</v>
      </c>
    </row>
    <row r="58" spans="1:18" x14ac:dyDescent="0.45">
      <c r="A58" t="s">
        <v>117</v>
      </c>
      <c r="B58" s="13" t="s">
        <v>78</v>
      </c>
      <c r="C58" s="3">
        <v>-11620</v>
      </c>
      <c r="D58" s="9">
        <v>-11650</v>
      </c>
      <c r="E58" s="9">
        <v>-16580</v>
      </c>
      <c r="F58" s="9">
        <v>-12132</v>
      </c>
      <c r="G58" s="16">
        <f>SUM(I58:L58)</f>
        <v>-13543</v>
      </c>
      <c r="I58" s="31">
        <f>-13543/4</f>
        <v>-3385.75</v>
      </c>
      <c r="J58" s="26">
        <f>-13543/4</f>
        <v>-3385.75</v>
      </c>
      <c r="K58" s="31">
        <f>-13543/4</f>
        <v>-3385.75</v>
      </c>
      <c r="L58" s="26">
        <f>-13543/4</f>
        <v>-3385.75</v>
      </c>
      <c r="M58" s="16">
        <f>SUM(O58:R58)</f>
        <v>-13543</v>
      </c>
      <c r="O58" s="31">
        <f>-13543/4</f>
        <v>-3385.75</v>
      </c>
      <c r="P58" s="26">
        <f>-13543/4</f>
        <v>-3385.75</v>
      </c>
      <c r="Q58" s="31">
        <f>-13543/4</f>
        <v>-3385.75</v>
      </c>
      <c r="R58" s="26">
        <f>-13543/4</f>
        <v>-3385.75</v>
      </c>
    </row>
    <row r="59" spans="1:18" x14ac:dyDescent="0.45">
      <c r="C59" s="4">
        <f>SUM(C56:C58)</f>
        <v>-16070.6</v>
      </c>
      <c r="D59" s="10">
        <f>SUM(D56:D58)</f>
        <v>-14002</v>
      </c>
      <c r="E59" s="10">
        <f>SUM(E56:E58)</f>
        <v>-20759</v>
      </c>
      <c r="F59" s="10">
        <f>SUM(F56:F58)</f>
        <v>-15803</v>
      </c>
      <c r="G59" s="17" t="e">
        <f>SUM(G56:G58)</f>
        <v>#REF!</v>
      </c>
      <c r="I59" s="36" t="e">
        <f>SUM(I56:I58)</f>
        <v>#REF!</v>
      </c>
      <c r="J59" s="48" t="e">
        <f t="shared" ref="J59:L59" si="15">SUM(J56:J58)</f>
        <v>#REF!</v>
      </c>
      <c r="K59" s="36" t="e">
        <f t="shared" si="15"/>
        <v>#REF!</v>
      </c>
      <c r="L59" s="48" t="e">
        <f t="shared" si="15"/>
        <v>#REF!</v>
      </c>
      <c r="M59" s="17" t="e">
        <f>SUM(M56:M58)</f>
        <v>#REF!</v>
      </c>
      <c r="O59" s="36" t="e">
        <f>SUM(O56:O58)</f>
        <v>#REF!</v>
      </c>
      <c r="P59" s="48" t="e">
        <f t="shared" ref="P59:R59" si="16">SUM(P56:P58)</f>
        <v>#REF!</v>
      </c>
      <c r="Q59" s="36" t="e">
        <f t="shared" si="16"/>
        <v>#REF!</v>
      </c>
      <c r="R59" s="48" t="e">
        <f t="shared" si="16"/>
        <v>#REF!</v>
      </c>
    </row>
    <row r="60" spans="1:18" x14ac:dyDescent="0.45">
      <c r="A60" s="6" t="s">
        <v>62</v>
      </c>
      <c r="B60" s="12"/>
      <c r="G60" s="16"/>
      <c r="I60" s="31"/>
      <c r="J60" s="26"/>
      <c r="K60" s="31"/>
      <c r="L60" s="26"/>
      <c r="M60" s="16"/>
      <c r="O60" s="31"/>
      <c r="P60" s="26"/>
      <c r="Q60" s="31"/>
      <c r="R60" s="26"/>
    </row>
    <row r="61" spans="1:18" x14ac:dyDescent="0.45">
      <c r="A61" t="s">
        <v>64</v>
      </c>
      <c r="B61" s="13" t="s">
        <v>78</v>
      </c>
      <c r="C61" s="3">
        <v>-2780</v>
      </c>
      <c r="D61" s="9">
        <v>-38670</v>
      </c>
      <c r="E61" s="9">
        <v>-11365</v>
      </c>
      <c r="F61" s="9">
        <v>-1315</v>
      </c>
      <c r="G61" s="16">
        <f t="shared" ref="G61:G67" si="17">SUM(I61:L61)</f>
        <v>-18465</v>
      </c>
      <c r="I61" s="31">
        <f>-8732-250</f>
        <v>-8982</v>
      </c>
      <c r="J61" s="26">
        <f>-8733-250</f>
        <v>-8983</v>
      </c>
      <c r="K61" s="31">
        <v>-250</v>
      </c>
      <c r="L61" s="26">
        <v>-250</v>
      </c>
      <c r="M61" s="16">
        <f t="shared" ref="M61:M63" si="18">SUM(O61:R61)</f>
        <v>-18465</v>
      </c>
      <c r="O61" s="31">
        <f>-8732-250</f>
        <v>-8982</v>
      </c>
      <c r="P61" s="26">
        <f>-8733-250</f>
        <v>-8983</v>
      </c>
      <c r="Q61" s="31">
        <v>-250</v>
      </c>
      <c r="R61" s="26">
        <v>-250</v>
      </c>
    </row>
    <row r="62" spans="1:18" x14ac:dyDescent="0.45">
      <c r="A62" t="s">
        <v>118</v>
      </c>
      <c r="B62" s="13" t="s">
        <v>78</v>
      </c>
      <c r="C62" s="3">
        <v>-114</v>
      </c>
      <c r="D62" s="9">
        <v>-161</v>
      </c>
      <c r="E62" s="9">
        <v>0</v>
      </c>
      <c r="F62" s="9">
        <v>0</v>
      </c>
      <c r="G62" s="16">
        <f t="shared" si="17"/>
        <v>0</v>
      </c>
      <c r="I62" s="31"/>
      <c r="J62" s="26"/>
      <c r="K62" s="31"/>
      <c r="L62" s="26"/>
      <c r="M62" s="16">
        <f t="shared" si="18"/>
        <v>0</v>
      </c>
      <c r="O62" s="31"/>
      <c r="P62" s="26"/>
      <c r="Q62" s="31"/>
      <c r="R62" s="26"/>
    </row>
    <row r="63" spans="1:18" x14ac:dyDescent="0.45">
      <c r="A63" t="s">
        <v>63</v>
      </c>
      <c r="B63" s="13" t="s">
        <v>78</v>
      </c>
      <c r="C63" s="3">
        <v>-6186.18</v>
      </c>
      <c r="D63" s="9">
        <v>-295</v>
      </c>
      <c r="E63" s="9">
        <v>0</v>
      </c>
      <c r="F63" s="9">
        <v>0</v>
      </c>
      <c r="G63" s="16">
        <f t="shared" si="17"/>
        <v>0</v>
      </c>
      <c r="I63" s="31"/>
      <c r="J63" s="26"/>
      <c r="K63" s="31"/>
      <c r="L63" s="26"/>
      <c r="M63" s="16">
        <f t="shared" si="18"/>
        <v>0</v>
      </c>
      <c r="O63" s="31"/>
      <c r="P63" s="26"/>
      <c r="Q63" s="31"/>
      <c r="R63" s="26"/>
    </row>
    <row r="64" spans="1:18" x14ac:dyDescent="0.45">
      <c r="A64" t="s">
        <v>119</v>
      </c>
      <c r="B64" s="13" t="s">
        <v>78</v>
      </c>
      <c r="C64" s="3">
        <v>-2401.66</v>
      </c>
      <c r="D64" s="9">
        <v>0</v>
      </c>
      <c r="E64" s="9">
        <v>0</v>
      </c>
      <c r="F64" s="9">
        <v>0</v>
      </c>
      <c r="G64" s="16">
        <v>-300</v>
      </c>
      <c r="I64" s="31"/>
      <c r="J64" s="26"/>
      <c r="K64" s="31">
        <v>-300</v>
      </c>
      <c r="L64" s="26"/>
      <c r="M64" s="16">
        <v>-300</v>
      </c>
      <c r="O64" s="31"/>
      <c r="P64" s="26"/>
      <c r="Q64" s="31">
        <v>-300</v>
      </c>
      <c r="R64" s="26"/>
    </row>
    <row r="65" spans="1:18" x14ac:dyDescent="0.45">
      <c r="A65" t="s">
        <v>120</v>
      </c>
      <c r="B65" s="13" t="s">
        <v>78</v>
      </c>
      <c r="C65" s="3">
        <v>-120.37</v>
      </c>
      <c r="D65" s="9">
        <v>0</v>
      </c>
      <c r="E65" s="9">
        <v>0</v>
      </c>
      <c r="F65" s="9">
        <v>0</v>
      </c>
      <c r="G65" s="16">
        <f t="shared" si="17"/>
        <v>0</v>
      </c>
      <c r="I65" s="31"/>
      <c r="J65" s="26"/>
      <c r="K65" s="31"/>
      <c r="L65" s="26"/>
      <c r="M65" s="16">
        <f t="shared" ref="M65:M67" si="19">SUM(O65:R65)</f>
        <v>0</v>
      </c>
      <c r="O65" s="31"/>
      <c r="P65" s="26"/>
      <c r="Q65" s="31"/>
      <c r="R65" s="26"/>
    </row>
    <row r="66" spans="1:18" x14ac:dyDescent="0.45">
      <c r="A66" t="s">
        <v>121</v>
      </c>
      <c r="B66" s="13" t="s">
        <v>78</v>
      </c>
      <c r="C66" s="3">
        <v>-520</v>
      </c>
      <c r="D66" s="9">
        <v>0</v>
      </c>
      <c r="E66" s="9">
        <v>0</v>
      </c>
      <c r="F66" s="9">
        <v>0</v>
      </c>
      <c r="G66" s="16">
        <f t="shared" si="17"/>
        <v>0</v>
      </c>
      <c r="I66" s="31"/>
      <c r="J66" s="26"/>
      <c r="K66" s="31"/>
      <c r="L66" s="26"/>
      <c r="M66" s="16">
        <f t="shared" si="19"/>
        <v>0</v>
      </c>
      <c r="O66" s="31"/>
      <c r="P66" s="26"/>
      <c r="Q66" s="31"/>
      <c r="R66" s="26"/>
    </row>
    <row r="67" spans="1:18" x14ac:dyDescent="0.45">
      <c r="A67" t="s">
        <v>122</v>
      </c>
      <c r="B67" s="13" t="s">
        <v>78</v>
      </c>
      <c r="C67" s="3">
        <v>-92.49</v>
      </c>
      <c r="D67" s="9">
        <v>-263</v>
      </c>
      <c r="E67" s="9">
        <v>0</v>
      </c>
      <c r="F67" s="9">
        <v>0</v>
      </c>
      <c r="G67" s="16">
        <f t="shared" si="17"/>
        <v>0</v>
      </c>
      <c r="I67" s="31"/>
      <c r="J67" s="26"/>
      <c r="K67" s="31"/>
      <c r="L67" s="26"/>
      <c r="M67" s="16">
        <f t="shared" si="19"/>
        <v>0</v>
      </c>
      <c r="O67" s="31"/>
      <c r="P67" s="26"/>
      <c r="Q67" s="31"/>
      <c r="R67" s="26"/>
    </row>
    <row r="68" spans="1:18" x14ac:dyDescent="0.45">
      <c r="A68" t="s">
        <v>123</v>
      </c>
      <c r="G68" s="16"/>
      <c r="I68" s="31"/>
      <c r="J68" s="26"/>
      <c r="K68" s="31"/>
      <c r="L68" s="26"/>
      <c r="M68" s="16"/>
      <c r="O68" s="31"/>
      <c r="P68" s="26"/>
      <c r="Q68" s="31"/>
      <c r="R68" s="26"/>
    </row>
    <row r="69" spans="1:18" x14ac:dyDescent="0.45">
      <c r="A69" t="s">
        <v>124</v>
      </c>
      <c r="B69" s="13" t="s">
        <v>76</v>
      </c>
      <c r="D69" s="9">
        <v>-100</v>
      </c>
      <c r="E69" s="9">
        <v>0</v>
      </c>
      <c r="F69" s="9">
        <v>0</v>
      </c>
      <c r="G69" s="16">
        <f>SUM(I69:L69)</f>
        <v>0</v>
      </c>
      <c r="I69" s="31"/>
      <c r="J69" s="26"/>
      <c r="K69" s="31"/>
      <c r="L69" s="26"/>
      <c r="M69" s="16">
        <f>SUM(O69:R69)</f>
        <v>0</v>
      </c>
      <c r="O69" s="31"/>
      <c r="P69" s="26"/>
      <c r="Q69" s="31"/>
      <c r="R69" s="26"/>
    </row>
    <row r="70" spans="1:18" x14ac:dyDescent="0.45">
      <c r="A70" t="s">
        <v>125</v>
      </c>
      <c r="B70" s="13" t="s">
        <v>76</v>
      </c>
      <c r="D70" s="9">
        <v>0</v>
      </c>
      <c r="G70" s="16">
        <f>SUM(I70:L70)</f>
        <v>0</v>
      </c>
      <c r="I70" s="31"/>
      <c r="J70" s="26"/>
      <c r="K70" s="31"/>
      <c r="L70" s="26"/>
      <c r="M70" s="16">
        <f>SUM(O70:R70)</f>
        <v>0</v>
      </c>
      <c r="O70" s="31"/>
      <c r="P70" s="26"/>
      <c r="Q70" s="31"/>
      <c r="R70" s="26"/>
    </row>
    <row r="71" spans="1:18" x14ac:dyDescent="0.45">
      <c r="A71" t="s">
        <v>126</v>
      </c>
      <c r="B71" s="13" t="s">
        <v>78</v>
      </c>
      <c r="D71" s="9">
        <v>0</v>
      </c>
      <c r="E71" s="9">
        <v>-180</v>
      </c>
      <c r="F71" s="9">
        <v>-5000</v>
      </c>
      <c r="G71" s="16">
        <f>SUM(I71:L71)</f>
        <v>0</v>
      </c>
      <c r="I71" s="31"/>
      <c r="J71" s="26"/>
      <c r="K71" s="31"/>
      <c r="L71" s="26"/>
      <c r="M71" s="16">
        <f>SUM(O71:R71)</f>
        <v>0</v>
      </c>
      <c r="O71" s="31"/>
      <c r="P71" s="26"/>
      <c r="Q71" s="31"/>
      <c r="R71" s="26"/>
    </row>
    <row r="72" spans="1:18" x14ac:dyDescent="0.45">
      <c r="A72" t="s">
        <v>127</v>
      </c>
      <c r="G72" s="16"/>
      <c r="I72" s="31"/>
      <c r="J72" s="26"/>
      <c r="K72" s="31"/>
      <c r="L72" s="26"/>
      <c r="M72" s="16"/>
      <c r="O72" s="31"/>
      <c r="P72" s="26"/>
      <c r="Q72" s="31"/>
      <c r="R72" s="26"/>
    </row>
    <row r="73" spans="1:18" x14ac:dyDescent="0.45">
      <c r="A73" t="s">
        <v>128</v>
      </c>
      <c r="B73" s="13" t="s">
        <v>78</v>
      </c>
      <c r="D73" s="9">
        <v>-220</v>
      </c>
      <c r="E73" s="9">
        <v>-4140</v>
      </c>
      <c r="G73" s="16">
        <f>SUM(I73:L73)</f>
        <v>0</v>
      </c>
      <c r="I73" s="31"/>
      <c r="J73" s="26"/>
      <c r="K73" s="31"/>
      <c r="L73" s="26"/>
      <c r="M73" s="16">
        <f>SUM(O73:R73)</f>
        <v>0</v>
      </c>
      <c r="O73" s="31"/>
      <c r="P73" s="26"/>
      <c r="Q73" s="31"/>
      <c r="R73" s="26"/>
    </row>
    <row r="74" spans="1:18" x14ac:dyDescent="0.45">
      <c r="A74" t="s">
        <v>67</v>
      </c>
      <c r="G74" s="16"/>
      <c r="I74" s="31"/>
      <c r="J74" s="26"/>
      <c r="K74" s="31"/>
      <c r="L74" s="26"/>
      <c r="M74" s="16"/>
      <c r="O74" s="31"/>
      <c r="P74" s="26"/>
      <c r="Q74" s="31"/>
      <c r="R74" s="26"/>
    </row>
    <row r="75" spans="1:18" x14ac:dyDescent="0.45">
      <c r="A75" t="s">
        <v>129</v>
      </c>
      <c r="B75" s="13" t="s">
        <v>78</v>
      </c>
      <c r="E75" s="9">
        <v>-3600</v>
      </c>
      <c r="G75" s="16">
        <f>SUM(I75:L75)</f>
        <v>0</v>
      </c>
      <c r="I75" s="31"/>
      <c r="J75" s="26"/>
      <c r="K75" s="31"/>
      <c r="L75" s="26"/>
      <c r="M75" s="16">
        <f>SUM(O75:R75)</f>
        <v>0</v>
      </c>
      <c r="O75" s="31"/>
      <c r="P75" s="26"/>
      <c r="Q75" s="31"/>
      <c r="R75" s="26"/>
    </row>
    <row r="76" spans="1:18" x14ac:dyDescent="0.45">
      <c r="A76" t="s">
        <v>130</v>
      </c>
      <c r="B76" s="13" t="s">
        <v>78</v>
      </c>
      <c r="D76" s="9">
        <v>0</v>
      </c>
      <c r="E76" s="9">
        <v>0</v>
      </c>
      <c r="F76" s="9">
        <v>-8450</v>
      </c>
      <c r="G76" s="16">
        <f>SUM(I76:L76)</f>
        <v>0</v>
      </c>
      <c r="I76" s="31"/>
      <c r="J76" s="26"/>
      <c r="K76" s="31"/>
      <c r="L76" s="26"/>
      <c r="M76" s="16">
        <f>SUM(O76:R76)</f>
        <v>0</v>
      </c>
      <c r="O76" s="31"/>
      <c r="P76" s="26"/>
      <c r="Q76" s="31"/>
      <c r="R76" s="26"/>
    </row>
    <row r="77" spans="1:18" x14ac:dyDescent="0.45">
      <c r="A77" t="s">
        <v>131</v>
      </c>
      <c r="B77" s="13" t="s">
        <v>78</v>
      </c>
      <c r="D77" s="9">
        <v>0</v>
      </c>
      <c r="E77" s="9">
        <v>0</v>
      </c>
      <c r="F77" s="9">
        <v>-4348</v>
      </c>
      <c r="G77" s="16">
        <f>SUM(I77:L77)</f>
        <v>0</v>
      </c>
      <c r="I77" s="31"/>
      <c r="J77" s="26"/>
      <c r="K77" s="31"/>
      <c r="L77" s="26"/>
      <c r="M77" s="16">
        <f>SUM(O77:R77)</f>
        <v>0</v>
      </c>
      <c r="O77" s="31"/>
      <c r="P77" s="26"/>
      <c r="Q77" s="31"/>
      <c r="R77" s="26"/>
    </row>
    <row r="78" spans="1:18" x14ac:dyDescent="0.45">
      <c r="A78" t="s">
        <v>132</v>
      </c>
      <c r="B78" s="13" t="s">
        <v>78</v>
      </c>
      <c r="E78" s="9">
        <v>0</v>
      </c>
      <c r="F78" s="9">
        <v>-4565</v>
      </c>
      <c r="G78" s="16">
        <f>SUM(I78:L78)</f>
        <v>0</v>
      </c>
      <c r="I78" s="31"/>
      <c r="J78" s="26"/>
      <c r="K78" s="31"/>
      <c r="L78" s="26"/>
      <c r="M78" s="16">
        <f>SUM(O78:R78)</f>
        <v>0</v>
      </c>
      <c r="O78" s="31"/>
      <c r="P78" s="26"/>
      <c r="Q78" s="31"/>
      <c r="R78" s="26"/>
    </row>
    <row r="79" spans="1:18" x14ac:dyDescent="0.45">
      <c r="A79" t="s">
        <v>133</v>
      </c>
      <c r="G79" s="16"/>
      <c r="I79" s="31"/>
      <c r="J79" s="26"/>
      <c r="K79" s="31"/>
      <c r="L79" s="26"/>
      <c r="M79" s="16"/>
      <c r="O79" s="31"/>
      <c r="P79" s="26"/>
      <c r="Q79" s="31"/>
      <c r="R79" s="26"/>
    </row>
    <row r="80" spans="1:18" x14ac:dyDescent="0.45">
      <c r="A80" s="22" t="s">
        <v>134</v>
      </c>
      <c r="B80" s="13" t="s">
        <v>78</v>
      </c>
      <c r="G80" s="16">
        <f>SUM(I80:L80)</f>
        <v>-5000</v>
      </c>
      <c r="I80" s="31"/>
      <c r="J80" s="26"/>
      <c r="K80" s="31">
        <v>-5000</v>
      </c>
      <c r="L80" s="26"/>
      <c r="M80" s="16">
        <f>SUM(O80:R80)</f>
        <v>-5000</v>
      </c>
      <c r="O80" s="31"/>
      <c r="P80" s="26"/>
      <c r="Q80" s="31">
        <v>-5000</v>
      </c>
      <c r="R80" s="26"/>
    </row>
    <row r="81" spans="1:18" ht="14.65" thickBot="1" x14ac:dyDescent="0.5">
      <c r="C81" s="4">
        <f>SUM(C61:C78)</f>
        <v>-12214.7</v>
      </c>
      <c r="D81" s="10">
        <f>SUM(D61:D78)</f>
        <v>-39709</v>
      </c>
      <c r="E81" s="10">
        <f>SUM(E61:E78)</f>
        <v>-19285</v>
      </c>
      <c r="F81" s="10">
        <f>SUM(F61:F78)</f>
        <v>-23678</v>
      </c>
      <c r="G81" s="17">
        <f>SUM(G61:G80)</f>
        <v>-23765</v>
      </c>
      <c r="I81" s="37">
        <f>SUM(I61:I80)</f>
        <v>-8982</v>
      </c>
      <c r="J81" s="49">
        <f>SUM(J61:J80)</f>
        <v>-8983</v>
      </c>
      <c r="K81" s="37">
        <f>SUM(K61:K80)</f>
        <v>-5550</v>
      </c>
      <c r="L81" s="49">
        <f>SUM(L61:L80)</f>
        <v>-250</v>
      </c>
      <c r="M81" s="17">
        <f>SUM(M61:M80)</f>
        <v>-23765</v>
      </c>
      <c r="O81" s="37">
        <f>SUM(O61:O80)</f>
        <v>-8982</v>
      </c>
      <c r="P81" s="49">
        <f>SUM(P61:P80)</f>
        <v>-8983</v>
      </c>
      <c r="Q81" s="37">
        <f>SUM(Q61:Q80)</f>
        <v>-5550</v>
      </c>
      <c r="R81" s="49">
        <f>SUM(R61:R80)</f>
        <v>-250</v>
      </c>
    </row>
    <row r="82" spans="1:18" x14ac:dyDescent="0.45">
      <c r="A82" t="s">
        <v>28</v>
      </c>
      <c r="G82" s="16"/>
      <c r="I82" s="26"/>
      <c r="J82" s="26"/>
      <c r="K82" s="26"/>
      <c r="L82" s="26"/>
      <c r="M82" s="16"/>
      <c r="O82" s="26"/>
      <c r="P82" s="26"/>
      <c r="Q82" s="26"/>
      <c r="R82" s="26"/>
    </row>
    <row r="83" spans="1:18" ht="14.65" thickBot="1" x14ac:dyDescent="0.5">
      <c r="A83" t="s">
        <v>135</v>
      </c>
      <c r="C83" s="3">
        <v>-6920.08</v>
      </c>
      <c r="D83" s="9">
        <v>-12354</v>
      </c>
      <c r="E83" s="9">
        <v>-9795</v>
      </c>
      <c r="F83" s="9">
        <v>-11457</v>
      </c>
      <c r="G83" s="45">
        <f>SUM(I83:L83)</f>
        <v>44192.312000000005</v>
      </c>
      <c r="I83" s="33">
        <f>(SUM(I10:I13)+I15+I17+I19+I22+I39+I40+I41+I42+I43+I47+I48+I57+I58+I53+SUM(I61:I67)+SUM(I71:I80))*0.2+(I46+I45)*0.05</f>
        <v>10535.080000000002</v>
      </c>
      <c r="J83" s="46">
        <f>(SUM(J10:J13)+J15+J17+J19+J22+J39+J40+J41+J42+J43+J47+J48+J57+J58+J53+SUM(J61:J67)+SUM(J71:J80))*0.2+(J46+J45)*0.05</f>
        <v>10339.290000000001</v>
      </c>
      <c r="K83" s="33">
        <f>(SUM(K10:K13)+K15+K17+K19+K22+K39+K40+K41+K42+K43+K47+K48+K57+K58+K53+SUM(K61:K67)+SUM(K71:K80))*0.2+(K46+K45)*0.05</f>
        <v>11130.502</v>
      </c>
      <c r="L83" s="46">
        <f>(SUM(L10:L13)+L15+L17+L19+L22+L39+L40+L41+L42+L43+L47+L48+L57+L58+L53+SUM(L61:L67)+SUM(L71:L80))*0.2+(L46+L45)*0.05</f>
        <v>12187.44</v>
      </c>
      <c r="M83" s="45">
        <f>SUM(O83:R83)</f>
        <v>-12574.678</v>
      </c>
      <c r="O83" s="33">
        <f>(SUM(O10:O13)+O15+O17+O19+O22+O39+O40+O41+O42+O43+O47+O48+O57+O58+O53+SUM(O61:O67)+SUM(O71:O80))*0.2+(O46+O45)*0.05</f>
        <v>-3643.91</v>
      </c>
      <c r="P83" s="46">
        <f>(SUM(P10:P13)+P15+P17+P19+P22+P39+P40+P41+P42+P43+P47+P48+P57+P58+P53+SUM(P61:P67)+SUM(P71:P80))*0.2+(P46+P45)*0.05</f>
        <v>-3856.71</v>
      </c>
      <c r="Q83" s="33">
        <f>(SUM(Q10:Q13)+Q15+Q17+Q19+Q22+Q39+Q40+Q41+Q42+Q43+Q47+Q48+Q57+Q58+Q53+SUM(Q61:Q67)+SUM(Q71:Q80))*0.2+(Q46+Q45)*0.05</f>
        <v>-3065.498</v>
      </c>
      <c r="R83" s="46">
        <f>(SUM(R10:R13)+R15+R17+R19+R22+R39+R40+R41+R42+R43+R47+R48+R57+R58+R53+SUM(R61:R67)+SUM(R71:R80))*0.2+(R46+R45)*0.05</f>
        <v>-2008.56</v>
      </c>
    </row>
  </sheetData>
  <mergeCells count="2">
    <mergeCell ref="I1:L1"/>
    <mergeCell ref="O1:R1"/>
  </mergeCells>
  <phoneticPr fontId="8" type="noConversion"/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workbookViewId="0">
      <selection activeCell="B13" sqref="B13"/>
    </sheetView>
  </sheetViews>
  <sheetFormatPr defaultColWidth="11.3984375" defaultRowHeight="14.25" x14ac:dyDescent="0.45"/>
  <cols>
    <col min="1" max="1" width="48.265625" bestFit="1" customWidth="1"/>
    <col min="2" max="2" width="6.3984375" style="3" bestFit="1" customWidth="1"/>
    <col min="3" max="3" width="6.3984375" bestFit="1" customWidth="1"/>
    <col min="4" max="4" width="6.86328125" style="3" customWidth="1"/>
    <col min="5" max="5" width="5.1328125" bestFit="1" customWidth="1"/>
  </cols>
  <sheetData>
    <row r="1" spans="1:5" x14ac:dyDescent="0.45">
      <c r="A1" s="6" t="s">
        <v>136</v>
      </c>
    </row>
    <row r="2" spans="1:5" x14ac:dyDescent="0.45">
      <c r="A2" t="s">
        <v>137</v>
      </c>
    </row>
    <row r="3" spans="1:5" x14ac:dyDescent="0.45">
      <c r="A3" s="22" t="s">
        <v>138</v>
      </c>
      <c r="B3" s="3">
        <f>-Payments!G7</f>
        <v>11944.951200000001</v>
      </c>
    </row>
    <row r="4" spans="1:5" x14ac:dyDescent="0.45">
      <c r="A4" s="22" t="s">
        <v>139</v>
      </c>
      <c r="B4" s="3">
        <f>-Payments!G20</f>
        <v>7288.8</v>
      </c>
    </row>
    <row r="5" spans="1:5" x14ac:dyDescent="0.45">
      <c r="A5" s="22" t="s">
        <v>140</v>
      </c>
      <c r="B5" s="3">
        <v>1800</v>
      </c>
    </row>
    <row r="6" spans="1:5" x14ac:dyDescent="0.45">
      <c r="A6" s="22" t="s">
        <v>141</v>
      </c>
      <c r="B6" s="3">
        <f>-Payments!G27</f>
        <v>1</v>
      </c>
    </row>
    <row r="7" spans="1:5" x14ac:dyDescent="0.45">
      <c r="A7" s="22" t="s">
        <v>142</v>
      </c>
      <c r="B7" s="3">
        <f>-Payments!G49+Payments!G48</f>
        <v>-253602.5</v>
      </c>
    </row>
    <row r="8" spans="1:5" x14ac:dyDescent="0.45">
      <c r="A8" s="22" t="s">
        <v>143</v>
      </c>
      <c r="B8" s="3">
        <f>-Payments!G51</f>
        <v>630</v>
      </c>
    </row>
    <row r="9" spans="1:5" x14ac:dyDescent="0.45">
      <c r="A9" s="22" t="s">
        <v>144</v>
      </c>
      <c r="B9" s="3" t="e">
        <f>-Payments!G56</f>
        <v>#REF!</v>
      </c>
    </row>
    <row r="10" spans="1:5" x14ac:dyDescent="0.45">
      <c r="A10" s="22" t="s">
        <v>154</v>
      </c>
      <c r="B10" s="3">
        <f>-Payments!G57</f>
        <v>2400</v>
      </c>
    </row>
    <row r="11" spans="1:5" x14ac:dyDescent="0.45">
      <c r="A11" s="22" t="s">
        <v>145</v>
      </c>
      <c r="B11" s="3">
        <v>9052</v>
      </c>
      <c r="C11" s="3"/>
    </row>
    <row r="12" spans="1:5" x14ac:dyDescent="0.45">
      <c r="A12" s="22" t="s">
        <v>146</v>
      </c>
      <c r="B12" s="3">
        <f>(B4-4333+B5-2378+B10+B6+B7+B11)*0.2</f>
        <v>-47954.340000000004</v>
      </c>
    </row>
    <row r="13" spans="1:5" x14ac:dyDescent="0.45">
      <c r="A13" s="22"/>
      <c r="B13" s="23" t="e">
        <f>SUM(B3:B12)</f>
        <v>#REF!</v>
      </c>
    </row>
    <row r="14" spans="1:5" x14ac:dyDescent="0.45">
      <c r="A14" s="22"/>
    </row>
    <row r="15" spans="1:5" x14ac:dyDescent="0.45">
      <c r="A15" s="22" t="s">
        <v>147</v>
      </c>
      <c r="B15" s="3" t="e">
        <f>B13/12*3</f>
        <v>#REF!</v>
      </c>
    </row>
    <row r="16" spans="1:5" x14ac:dyDescent="0.45">
      <c r="A16" s="22" t="s">
        <v>148</v>
      </c>
      <c r="B16" s="3" t="e">
        <f>B13/12*6</f>
        <v>#REF!</v>
      </c>
      <c r="E16" s="3"/>
    </row>
    <row r="17" spans="1:5" x14ac:dyDescent="0.45">
      <c r="A17" s="22" t="s">
        <v>149</v>
      </c>
      <c r="B17" s="3" t="e">
        <f>B13/12*9</f>
        <v>#REF!</v>
      </c>
      <c r="E17" s="3"/>
    </row>
    <row r="18" spans="1:5" x14ac:dyDescent="0.45">
      <c r="A18" s="22" t="s">
        <v>150</v>
      </c>
      <c r="B18" s="3" t="e">
        <f>B13</f>
        <v>#REF!</v>
      </c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Receipts</vt:lpstr>
      <vt:lpstr>Payments</vt:lpstr>
      <vt:lpstr>Reserves requirement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</dc:creator>
  <cp:keywords/>
  <dc:description/>
  <cp:lastModifiedBy>Ben Sawyer</cp:lastModifiedBy>
  <cp:revision/>
  <dcterms:created xsi:type="dcterms:W3CDTF">2017-10-20T09:29:58Z</dcterms:created>
  <dcterms:modified xsi:type="dcterms:W3CDTF">2022-08-02T17:35:12Z</dcterms:modified>
  <cp:category/>
  <cp:contentStatus/>
</cp:coreProperties>
</file>